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mm\Desktop\01 Refugee\Arrival Reports\"/>
    </mc:Choice>
  </mc:AlternateContent>
  <bookViews>
    <workbookView xWindow="210" yWindow="1035" windowWidth="20115" windowHeight="8010" tabRatio="928" xr2:uid="{00000000-000D-0000-FFFF-FFFF00000000}"/>
  </bookViews>
  <sheets>
    <sheet name="Rpt Regions" sheetId="68" r:id="rId1"/>
    <sheet name="Rpt Counties" sheetId="69" r:id="rId2"/>
    <sheet name="Rpt Countries" sheetId="72" r:id="rId3"/>
    <sheet name="Rpt R1" sheetId="70" r:id="rId4"/>
    <sheet name="Rpt R1 VOLAG by Cntry" sheetId="71" r:id="rId5"/>
    <sheet name="Rpt R2" sheetId="50" r:id="rId6"/>
    <sheet name="Rpt R2 Hbrg" sheetId="51" r:id="rId7"/>
    <sheet name="Rpt R2 Lncstr" sheetId="52" r:id="rId8"/>
    <sheet name="Rpt R3" sheetId="53" r:id="rId9"/>
    <sheet name="Rpt R3 Volag by Cntry" sheetId="54" r:id="rId10"/>
    <sheet name="Rpt R4" sheetId="55" r:id="rId11"/>
    <sheet name="Rpt R4 Allntwn" sheetId="56" r:id="rId12"/>
    <sheet name="Rpt R4 Scrntn" sheetId="57" r:id="rId13"/>
    <sheet name="Rpt R5" sheetId="58" r:id="rId14"/>
    <sheet name="Rpt R5 VOLAG by Cntry" sheetId="59" r:id="rId15"/>
    <sheet name="Rpt VOLAG City" sheetId="60" r:id="rId16"/>
    <sheet name="Master" sheetId="44" state="hidden" r:id="rId17"/>
    <sheet name="Country Codes" sheetId="67" r:id="rId18"/>
  </sheets>
  <externalReferences>
    <externalReference r:id="rId19"/>
  </externalReferences>
  <definedNames>
    <definedName name="_xlnm._FilterDatabase" localSheetId="16" hidden="1">Master!$A$1:$P$600</definedName>
    <definedName name="_xlnm._FilterDatabase" localSheetId="9" hidden="1">'Rpt R3 Volag by Cntry'!$B$197:$Q$260</definedName>
    <definedName name="_xlnm.Print_Titles" localSheetId="16">Master!#REF!</definedName>
  </definedNames>
  <calcPr calcId="171027"/>
</workbook>
</file>

<file path=xl/calcChain.xml><?xml version="1.0" encoding="utf-8"?>
<calcChain xmlns="http://schemas.openxmlformats.org/spreadsheetml/2006/main">
  <c r="P6" i="70" l="1"/>
  <c r="P7" i="70"/>
  <c r="P8" i="70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6" i="70"/>
  <c r="P37" i="70"/>
  <c r="P38" i="70"/>
  <c r="P39" i="70"/>
  <c r="P40" i="70"/>
  <c r="P41" i="70"/>
  <c r="P42" i="70"/>
  <c r="P43" i="70"/>
  <c r="P44" i="70"/>
  <c r="P45" i="70"/>
  <c r="P46" i="70"/>
  <c r="P47" i="70"/>
  <c r="P48" i="70"/>
  <c r="P49" i="70"/>
  <c r="P50" i="70"/>
  <c r="P51" i="70"/>
  <c r="P52" i="70"/>
  <c r="P53" i="70"/>
  <c r="P54" i="70"/>
  <c r="P55" i="70"/>
  <c r="P56" i="70"/>
  <c r="P57" i="70"/>
  <c r="P58" i="70"/>
  <c r="P59" i="70"/>
  <c r="P60" i="70"/>
  <c r="P61" i="70"/>
  <c r="P62" i="70"/>
  <c r="P63" i="70"/>
  <c r="P5" i="7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3" i="60"/>
  <c r="O124" i="60"/>
  <c r="O125" i="60"/>
  <c r="O126" i="60"/>
  <c r="B105" i="60"/>
  <c r="B104" i="60"/>
  <c r="O20" i="60"/>
  <c r="P63" i="58" l="1"/>
  <c r="P60" i="58"/>
  <c r="P59" i="58"/>
  <c r="P56" i="58"/>
  <c r="P55" i="58"/>
  <c r="P52" i="58"/>
  <c r="P51" i="58"/>
  <c r="P48" i="58"/>
  <c r="P47" i="58"/>
  <c r="P44" i="58"/>
  <c r="P43" i="58"/>
  <c r="P40" i="58"/>
  <c r="P39" i="58"/>
  <c r="P36" i="58"/>
  <c r="P35" i="58"/>
  <c r="P32" i="58"/>
  <c r="P31" i="58"/>
  <c r="P28" i="58"/>
  <c r="P27" i="58"/>
  <c r="P24" i="58"/>
  <c r="P23" i="58"/>
  <c r="P20" i="58"/>
  <c r="P19" i="58"/>
  <c r="P16" i="58"/>
  <c r="P15" i="58"/>
  <c r="P12" i="58"/>
  <c r="P11" i="58"/>
  <c r="P8" i="58"/>
  <c r="P5" i="58"/>
  <c r="P6" i="58"/>
  <c r="P9" i="58"/>
  <c r="P10" i="58"/>
  <c r="P13" i="58"/>
  <c r="P14" i="58"/>
  <c r="P17" i="58"/>
  <c r="P18" i="58"/>
  <c r="P21" i="58"/>
  <c r="P22" i="58"/>
  <c r="P25" i="58"/>
  <c r="P26" i="58"/>
  <c r="P29" i="58"/>
  <c r="P30" i="58"/>
  <c r="P33" i="58"/>
  <c r="P34" i="58"/>
  <c r="P37" i="58"/>
  <c r="P38" i="58"/>
  <c r="P41" i="58"/>
  <c r="P42" i="58"/>
  <c r="P45" i="58"/>
  <c r="P46" i="58"/>
  <c r="P49" i="58"/>
  <c r="P50" i="58"/>
  <c r="P53" i="58"/>
  <c r="P54" i="58"/>
  <c r="P57" i="58"/>
  <c r="P58" i="58"/>
  <c r="P61" i="58"/>
  <c r="P62" i="58"/>
  <c r="P6" i="57"/>
  <c r="P7" i="57"/>
  <c r="P8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60" i="57"/>
  <c r="P61" i="57"/>
  <c r="P62" i="57"/>
  <c r="P63" i="57"/>
  <c r="P20" i="55"/>
  <c r="P16" i="55"/>
  <c r="P12" i="55"/>
  <c r="P8" i="55"/>
  <c r="P6" i="55"/>
  <c r="P7" i="55"/>
  <c r="P9" i="55"/>
  <c r="P10" i="55"/>
  <c r="P11" i="55"/>
  <c r="P13" i="55"/>
  <c r="P14" i="55"/>
  <c r="P15" i="55"/>
  <c r="P17" i="55"/>
  <c r="P18" i="55"/>
  <c r="P19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266" i="54"/>
  <c r="P267" i="54"/>
  <c r="P268" i="54"/>
  <c r="P269" i="54"/>
  <c r="P270" i="54"/>
  <c r="P271" i="54"/>
  <c r="P272" i="54"/>
  <c r="P273" i="54"/>
  <c r="P274" i="54"/>
  <c r="P275" i="54"/>
  <c r="P276" i="54"/>
  <c r="P277" i="54"/>
  <c r="P278" i="54"/>
  <c r="P279" i="54"/>
  <c r="P280" i="54"/>
  <c r="P281" i="54"/>
  <c r="P282" i="54"/>
  <c r="P283" i="54"/>
  <c r="P284" i="54"/>
  <c r="P285" i="54"/>
  <c r="P286" i="54"/>
  <c r="P287" i="54"/>
  <c r="P288" i="54"/>
  <c r="P289" i="54"/>
  <c r="P290" i="54"/>
  <c r="P291" i="54"/>
  <c r="P292" i="54"/>
  <c r="P293" i="54"/>
  <c r="P294" i="54"/>
  <c r="P295" i="54"/>
  <c r="P296" i="54"/>
  <c r="P297" i="54"/>
  <c r="P298" i="54"/>
  <c r="P299" i="54"/>
  <c r="P300" i="54"/>
  <c r="P301" i="54"/>
  <c r="P302" i="54"/>
  <c r="P303" i="54"/>
  <c r="P304" i="54"/>
  <c r="P305" i="54"/>
  <c r="P306" i="54"/>
  <c r="P307" i="54"/>
  <c r="P308" i="54"/>
  <c r="P309" i="54"/>
  <c r="P310" i="54"/>
  <c r="P311" i="54"/>
  <c r="P312" i="54"/>
  <c r="P313" i="54"/>
  <c r="P314" i="54"/>
  <c r="P315" i="54"/>
  <c r="P316" i="54"/>
  <c r="P317" i="54"/>
  <c r="P318" i="54"/>
  <c r="P319" i="54"/>
  <c r="P320" i="54"/>
  <c r="P321" i="54"/>
  <c r="P322" i="54"/>
  <c r="P323" i="54"/>
  <c r="P201" i="54"/>
  <c r="P202" i="54"/>
  <c r="P203" i="54"/>
  <c r="P204" i="54"/>
  <c r="P205" i="54"/>
  <c r="P206" i="54"/>
  <c r="P207" i="54"/>
  <c r="P208" i="54"/>
  <c r="P209" i="54"/>
  <c r="P210" i="54"/>
  <c r="P211" i="54"/>
  <c r="P212" i="54"/>
  <c r="P213" i="54"/>
  <c r="P214" i="54"/>
  <c r="P215" i="54"/>
  <c r="P216" i="54"/>
  <c r="P217" i="54"/>
  <c r="P218" i="54"/>
  <c r="P219" i="54"/>
  <c r="P220" i="54"/>
  <c r="P221" i="54"/>
  <c r="P222" i="54"/>
  <c r="P223" i="54"/>
  <c r="P224" i="54"/>
  <c r="P225" i="54"/>
  <c r="P226" i="54"/>
  <c r="P227" i="54"/>
  <c r="P228" i="54"/>
  <c r="P229" i="54"/>
  <c r="P230" i="54"/>
  <c r="P231" i="54"/>
  <c r="P232" i="54"/>
  <c r="P233" i="54"/>
  <c r="P234" i="54"/>
  <c r="P235" i="54"/>
  <c r="P236" i="54"/>
  <c r="P237" i="54"/>
  <c r="P238" i="54"/>
  <c r="P239" i="54"/>
  <c r="P240" i="54"/>
  <c r="P241" i="54"/>
  <c r="P242" i="54"/>
  <c r="P243" i="54"/>
  <c r="P244" i="54"/>
  <c r="P245" i="54"/>
  <c r="P246" i="54"/>
  <c r="P247" i="54"/>
  <c r="P248" i="54"/>
  <c r="P249" i="54"/>
  <c r="P250" i="54"/>
  <c r="P251" i="54"/>
  <c r="P252" i="54"/>
  <c r="P253" i="54"/>
  <c r="P254" i="54"/>
  <c r="P255" i="54"/>
  <c r="P256" i="54"/>
  <c r="P257" i="54"/>
  <c r="P258" i="54"/>
  <c r="P136" i="54"/>
  <c r="P137" i="54"/>
  <c r="P138" i="54"/>
  <c r="P139" i="54"/>
  <c r="P140" i="54"/>
  <c r="P141" i="54"/>
  <c r="P142" i="54"/>
  <c r="P143" i="54"/>
  <c r="P144" i="54"/>
  <c r="P145" i="54"/>
  <c r="P146" i="54"/>
  <c r="P147" i="54"/>
  <c r="P148" i="54"/>
  <c r="P149" i="54"/>
  <c r="P150" i="54"/>
  <c r="P151" i="54"/>
  <c r="P152" i="54"/>
  <c r="P153" i="54"/>
  <c r="P154" i="54"/>
  <c r="P155" i="54"/>
  <c r="P156" i="54"/>
  <c r="P157" i="54"/>
  <c r="P158" i="54"/>
  <c r="P159" i="54"/>
  <c r="P160" i="54"/>
  <c r="P161" i="54"/>
  <c r="P162" i="54"/>
  <c r="P163" i="54"/>
  <c r="P164" i="54"/>
  <c r="P165" i="54"/>
  <c r="P166" i="54"/>
  <c r="P167" i="54"/>
  <c r="P168" i="54"/>
  <c r="P169" i="54"/>
  <c r="P170" i="54"/>
  <c r="P171" i="54"/>
  <c r="P172" i="54"/>
  <c r="P173" i="54"/>
  <c r="P174" i="54"/>
  <c r="P175" i="54"/>
  <c r="P176" i="54"/>
  <c r="P177" i="54"/>
  <c r="P178" i="54"/>
  <c r="P179" i="54"/>
  <c r="P180" i="54"/>
  <c r="P181" i="54"/>
  <c r="P182" i="54"/>
  <c r="P183" i="54"/>
  <c r="P184" i="54"/>
  <c r="P185" i="54"/>
  <c r="P186" i="54"/>
  <c r="P187" i="54"/>
  <c r="P188" i="54"/>
  <c r="P189" i="54"/>
  <c r="P190" i="54"/>
  <c r="P191" i="54"/>
  <c r="P192" i="54"/>
  <c r="P193" i="54"/>
  <c r="P71" i="54"/>
  <c r="P72" i="54"/>
  <c r="P73" i="54"/>
  <c r="P74" i="54"/>
  <c r="P75" i="54"/>
  <c r="P76" i="54"/>
  <c r="P77" i="54"/>
  <c r="P78" i="54"/>
  <c r="P79" i="54"/>
  <c r="P80" i="54"/>
  <c r="P81" i="54"/>
  <c r="P82" i="54"/>
  <c r="P83" i="54"/>
  <c r="P84" i="54"/>
  <c r="P85" i="54"/>
  <c r="P86" i="54"/>
  <c r="P87" i="54"/>
  <c r="P88" i="54"/>
  <c r="P89" i="54"/>
  <c r="P90" i="54"/>
  <c r="P91" i="54"/>
  <c r="P92" i="54"/>
  <c r="P93" i="54"/>
  <c r="P94" i="54"/>
  <c r="P95" i="54"/>
  <c r="P96" i="54"/>
  <c r="P97" i="54"/>
  <c r="P98" i="54"/>
  <c r="P99" i="54"/>
  <c r="P100" i="54"/>
  <c r="P101" i="54"/>
  <c r="P102" i="54"/>
  <c r="P103" i="54"/>
  <c r="P104" i="54"/>
  <c r="P105" i="54"/>
  <c r="P106" i="54"/>
  <c r="P107" i="54"/>
  <c r="P108" i="54"/>
  <c r="P109" i="54"/>
  <c r="P110" i="54"/>
  <c r="P111" i="54"/>
  <c r="P112" i="54"/>
  <c r="P113" i="54"/>
  <c r="P114" i="54"/>
  <c r="P115" i="54"/>
  <c r="P116" i="54"/>
  <c r="P117" i="54"/>
  <c r="P118" i="54"/>
  <c r="P119" i="54"/>
  <c r="P120" i="54"/>
  <c r="P121" i="54"/>
  <c r="P122" i="54"/>
  <c r="P123" i="54"/>
  <c r="P124" i="54"/>
  <c r="P125" i="54"/>
  <c r="P126" i="54"/>
  <c r="P127" i="54"/>
  <c r="P128" i="54"/>
  <c r="P6" i="54"/>
  <c r="P7" i="54"/>
  <c r="P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71" i="52"/>
  <c r="P72" i="52"/>
  <c r="P73" i="52"/>
  <c r="P74" i="52"/>
  <c r="P75" i="52"/>
  <c r="P76" i="52"/>
  <c r="P77" i="52"/>
  <c r="P78" i="52"/>
  <c r="P79" i="52"/>
  <c r="P80" i="52"/>
  <c r="P81" i="52"/>
  <c r="P82" i="52"/>
  <c r="P83" i="52"/>
  <c r="P84" i="52"/>
  <c r="P85" i="52"/>
  <c r="P86" i="52"/>
  <c r="P87" i="52"/>
  <c r="P88" i="52"/>
  <c r="P89" i="52"/>
  <c r="P90" i="52"/>
  <c r="P91" i="52"/>
  <c r="P92" i="52"/>
  <c r="P93" i="52"/>
  <c r="P94" i="52"/>
  <c r="P95" i="52"/>
  <c r="P96" i="52"/>
  <c r="P97" i="52"/>
  <c r="P98" i="52"/>
  <c r="P99" i="52"/>
  <c r="P100" i="52"/>
  <c r="P101" i="52"/>
  <c r="P102" i="52"/>
  <c r="P103" i="52"/>
  <c r="P104" i="52"/>
  <c r="P105" i="52"/>
  <c r="P106" i="52"/>
  <c r="P107" i="52"/>
  <c r="P108" i="52"/>
  <c r="P109" i="52"/>
  <c r="P110" i="52"/>
  <c r="P111" i="52"/>
  <c r="P112" i="52"/>
  <c r="P113" i="52"/>
  <c r="P114" i="52"/>
  <c r="P115" i="52"/>
  <c r="P116" i="52"/>
  <c r="P117" i="52"/>
  <c r="P118" i="52"/>
  <c r="P119" i="52"/>
  <c r="P120" i="52"/>
  <c r="P121" i="52"/>
  <c r="P122" i="52"/>
  <c r="P123" i="52"/>
  <c r="P124" i="52"/>
  <c r="P125" i="52"/>
  <c r="P126" i="52"/>
  <c r="P127" i="52"/>
  <c r="P128" i="52"/>
  <c r="P6" i="52"/>
  <c r="P7" i="52"/>
  <c r="P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46" i="52"/>
  <c r="P47" i="52"/>
  <c r="P48" i="52"/>
  <c r="P49" i="52"/>
  <c r="P50" i="52"/>
  <c r="P51" i="52"/>
  <c r="P52" i="52"/>
  <c r="P53" i="52"/>
  <c r="P54" i="52"/>
  <c r="P55" i="52"/>
  <c r="P56" i="52"/>
  <c r="P57" i="52"/>
  <c r="P58" i="52"/>
  <c r="P59" i="52"/>
  <c r="P60" i="52"/>
  <c r="P61" i="52"/>
  <c r="P62" i="52"/>
  <c r="P63" i="52"/>
  <c r="P70" i="51"/>
  <c r="P71" i="51"/>
  <c r="P72" i="51"/>
  <c r="P73" i="51"/>
  <c r="P74" i="51"/>
  <c r="P75" i="51"/>
  <c r="P76" i="51"/>
  <c r="P77" i="51"/>
  <c r="P78" i="51"/>
  <c r="P79" i="51"/>
  <c r="P80" i="51"/>
  <c r="P81" i="51"/>
  <c r="P82" i="51"/>
  <c r="P83" i="51"/>
  <c r="P84" i="51"/>
  <c r="P85" i="51"/>
  <c r="P86" i="51"/>
  <c r="P87" i="51"/>
  <c r="P88" i="51"/>
  <c r="P89" i="51"/>
  <c r="P90" i="51"/>
  <c r="P91" i="51"/>
  <c r="P92" i="51"/>
  <c r="P93" i="51"/>
  <c r="P94" i="51"/>
  <c r="P95" i="51"/>
  <c r="P96" i="51"/>
  <c r="P97" i="51"/>
  <c r="P98" i="51"/>
  <c r="P99" i="51"/>
  <c r="P100" i="51"/>
  <c r="P101" i="51"/>
  <c r="P102" i="51"/>
  <c r="P103" i="51"/>
  <c r="P104" i="51"/>
  <c r="P105" i="51"/>
  <c r="P106" i="51"/>
  <c r="P107" i="51"/>
  <c r="P108" i="51"/>
  <c r="P109" i="51"/>
  <c r="P110" i="51"/>
  <c r="P111" i="51"/>
  <c r="P112" i="51"/>
  <c r="P113" i="51"/>
  <c r="P114" i="51"/>
  <c r="P115" i="51"/>
  <c r="P116" i="51"/>
  <c r="P117" i="51"/>
  <c r="P118" i="51"/>
  <c r="P119" i="51"/>
  <c r="P120" i="51"/>
  <c r="P121" i="51"/>
  <c r="P122" i="51"/>
  <c r="P123" i="51"/>
  <c r="P124" i="51"/>
  <c r="P125" i="51"/>
  <c r="P126" i="51"/>
  <c r="P127" i="51"/>
  <c r="P6" i="51"/>
  <c r="P7" i="51"/>
  <c r="P8" i="5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33" i="51"/>
  <c r="P34" i="51"/>
  <c r="P35" i="51"/>
  <c r="P36" i="51"/>
  <c r="P37" i="51"/>
  <c r="P38" i="51"/>
  <c r="P39" i="51"/>
  <c r="P40" i="51"/>
  <c r="P41" i="51"/>
  <c r="P42" i="51"/>
  <c r="P43" i="51"/>
  <c r="P44" i="51"/>
  <c r="P45" i="51"/>
  <c r="P46" i="51"/>
  <c r="P47" i="51"/>
  <c r="P48" i="51"/>
  <c r="P49" i="51"/>
  <c r="P50" i="51"/>
  <c r="P51" i="51"/>
  <c r="P52" i="51"/>
  <c r="P53" i="51"/>
  <c r="P54" i="51"/>
  <c r="P55" i="51"/>
  <c r="P56" i="51"/>
  <c r="P57" i="51"/>
  <c r="P58" i="51"/>
  <c r="P59" i="51"/>
  <c r="P60" i="51"/>
  <c r="P61" i="51"/>
  <c r="P62" i="51"/>
  <c r="P63" i="51"/>
  <c r="P66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1" i="50"/>
  <c r="P62" i="50"/>
  <c r="P63" i="50"/>
  <c r="P64" i="50"/>
  <c r="P65" i="50"/>
  <c r="P5" i="50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5" i="72"/>
  <c r="Y168" i="44"/>
  <c r="Y169" i="44"/>
  <c r="Y166" i="44"/>
  <c r="EJ8" i="44"/>
  <c r="EJ9" i="44"/>
  <c r="EJ10" i="44"/>
  <c r="EJ11" i="44"/>
  <c r="EJ12" i="44"/>
  <c r="EJ13" i="44"/>
  <c r="EJ14" i="44"/>
  <c r="EJ15" i="44"/>
  <c r="EJ16" i="44"/>
  <c r="EJ17" i="44"/>
  <c r="EJ18" i="44"/>
  <c r="EJ19" i="44"/>
  <c r="EJ20" i="44"/>
  <c r="EJ21" i="44"/>
  <c r="EJ22" i="44"/>
  <c r="EJ23" i="44"/>
  <c r="EJ24" i="44"/>
  <c r="EJ25" i="44"/>
  <c r="EJ26" i="44"/>
  <c r="EJ27" i="44"/>
  <c r="EJ28" i="44"/>
  <c r="EJ29" i="44"/>
  <c r="EJ30" i="44"/>
  <c r="EJ31" i="44"/>
  <c r="EJ32" i="44"/>
  <c r="EJ33" i="44"/>
  <c r="EJ34" i="44"/>
  <c r="EJ35" i="44"/>
  <c r="EJ36" i="44"/>
  <c r="EJ37" i="44"/>
  <c r="EJ38" i="44"/>
  <c r="EJ39" i="44"/>
  <c r="EJ40" i="44"/>
  <c r="EJ41" i="44"/>
  <c r="EJ42" i="44"/>
  <c r="EJ43" i="44"/>
  <c r="EJ44" i="44"/>
  <c r="EJ45" i="44"/>
  <c r="EJ46" i="44"/>
  <c r="EJ47" i="44"/>
  <c r="EJ48" i="44"/>
  <c r="EJ49" i="44"/>
  <c r="EJ50" i="44"/>
  <c r="EJ51" i="44"/>
  <c r="EJ52" i="44"/>
  <c r="EJ53" i="44"/>
  <c r="EJ54" i="44"/>
  <c r="EJ55" i="44"/>
  <c r="EJ56" i="44"/>
  <c r="EJ57" i="44"/>
  <c r="EJ58" i="44"/>
  <c r="EJ59" i="44"/>
  <c r="EJ60" i="44"/>
  <c r="EJ61" i="44"/>
  <c r="EJ62" i="44"/>
  <c r="EJ63" i="44"/>
  <c r="EJ64" i="44"/>
  <c r="EJ65" i="44"/>
  <c r="EJ7" i="44"/>
  <c r="EJ66" i="44" s="1"/>
  <c r="EK7" i="44"/>
  <c r="AI25" i="44"/>
  <c r="AI9" i="44"/>
  <c r="AJ9" i="44"/>
  <c r="AK9" i="44"/>
  <c r="AM9" i="44"/>
  <c r="AN9" i="44"/>
  <c r="AP9" i="44"/>
  <c r="AQ9" i="44"/>
  <c r="AR9" i="44"/>
  <c r="AS9" i="44"/>
  <c r="AT9" i="44"/>
  <c r="AU9" i="44"/>
  <c r="AW9" i="44"/>
  <c r="AX9" i="44"/>
  <c r="AY9" i="44"/>
  <c r="AZ9" i="44"/>
  <c r="BA9" i="44"/>
  <c r="BB9" i="44"/>
  <c r="BC9" i="44"/>
  <c r="BI9" i="44"/>
  <c r="BJ9" i="44"/>
  <c r="BK9" i="44"/>
  <c r="BL9" i="44"/>
  <c r="BM9" i="44"/>
  <c r="BN9" i="44"/>
  <c r="BO9" i="44"/>
  <c r="BP9" i="44"/>
  <c r="BQ9" i="44"/>
  <c r="BR9" i="44"/>
  <c r="BS9" i="44"/>
  <c r="BT9" i="44"/>
  <c r="BU9" i="44"/>
  <c r="BV9" i="44"/>
  <c r="BW9" i="44"/>
  <c r="BX9" i="44"/>
  <c r="BY9" i="44"/>
  <c r="BZ9" i="44"/>
  <c r="CA9" i="44"/>
  <c r="CB9" i="44"/>
  <c r="CC9" i="44"/>
  <c r="CD9" i="44"/>
  <c r="CF9" i="44"/>
  <c r="CG9" i="44"/>
  <c r="CH9" i="44"/>
  <c r="CI9" i="44"/>
  <c r="CJ9" i="44"/>
  <c r="CK9" i="44"/>
  <c r="CL9" i="44"/>
  <c r="CM9" i="44"/>
  <c r="CN9" i="44"/>
  <c r="CO9" i="44"/>
  <c r="CQ9" i="44"/>
  <c r="CW9" i="44"/>
  <c r="AB9" i="44" s="1"/>
  <c r="CX9" i="44"/>
  <c r="CY9" i="44"/>
  <c r="CZ9" i="44"/>
  <c r="DB9" i="44"/>
  <c r="DC9" i="44"/>
  <c r="DD9" i="44"/>
  <c r="DF9" i="44"/>
  <c r="DG9" i="44"/>
  <c r="DH9" i="44"/>
  <c r="DI9" i="44"/>
  <c r="DJ9" i="44"/>
  <c r="DK9" i="44"/>
  <c r="DL9" i="44"/>
  <c r="DM9" i="44"/>
  <c r="DN9" i="44"/>
  <c r="DO9" i="44"/>
  <c r="DP9" i="44"/>
  <c r="DQ9" i="44"/>
  <c r="DR9" i="44"/>
  <c r="DS9" i="44"/>
  <c r="DT9" i="44"/>
  <c r="DU9" i="44"/>
  <c r="DV9" i="44"/>
  <c r="DW9" i="44"/>
  <c r="DX9" i="44"/>
  <c r="DY9" i="44"/>
  <c r="DZ9" i="44"/>
  <c r="EA9" i="44"/>
  <c r="EB9" i="44"/>
  <c r="EC9" i="44"/>
  <c r="ED9" i="44"/>
  <c r="EE9" i="44"/>
  <c r="EF9" i="44"/>
  <c r="EG9" i="44"/>
  <c r="EH9" i="44"/>
  <c r="EK9" i="44"/>
  <c r="EL9" i="44"/>
  <c r="EM9" i="44"/>
  <c r="EN9" i="44"/>
  <c r="EQ9" i="44"/>
  <c r="ER9" i="44"/>
  <c r="ES9" i="44"/>
  <c r="ET9" i="44"/>
  <c r="EU9" i="44"/>
  <c r="EV9" i="44"/>
  <c r="EW9" i="44"/>
  <c r="EX9" i="44"/>
  <c r="EZ9" i="44"/>
  <c r="FF9" i="44"/>
  <c r="FG9" i="44"/>
  <c r="FI9" i="44" s="1"/>
  <c r="FH9" i="44"/>
  <c r="AI10" i="44"/>
  <c r="AJ10" i="44"/>
  <c r="AK10" i="44"/>
  <c r="AM10" i="44"/>
  <c r="AN10" i="44"/>
  <c r="AP10" i="44"/>
  <c r="AQ10" i="44"/>
  <c r="AR10" i="44"/>
  <c r="AS10" i="44"/>
  <c r="AT10" i="44"/>
  <c r="AU10" i="44"/>
  <c r="AW10" i="44"/>
  <c r="AX10" i="44"/>
  <c r="AY10" i="44"/>
  <c r="AZ10" i="44"/>
  <c r="BA10" i="44"/>
  <c r="BB10" i="44"/>
  <c r="BC10" i="44"/>
  <c r="BI10" i="44"/>
  <c r="BJ10" i="44"/>
  <c r="BK10" i="44"/>
  <c r="BL10" i="44"/>
  <c r="BM10" i="44"/>
  <c r="BN10" i="44"/>
  <c r="BO10" i="44"/>
  <c r="BP10" i="44"/>
  <c r="BQ10" i="44"/>
  <c r="BR10" i="44"/>
  <c r="BS10" i="44"/>
  <c r="BT10" i="44"/>
  <c r="BU10" i="44"/>
  <c r="BV10" i="44"/>
  <c r="BW10" i="44"/>
  <c r="BX10" i="44"/>
  <c r="BY10" i="44"/>
  <c r="BZ10" i="44"/>
  <c r="CA10" i="44"/>
  <c r="CB10" i="44"/>
  <c r="CC10" i="44"/>
  <c r="CD10" i="44"/>
  <c r="CF10" i="44"/>
  <c r="CG10" i="44"/>
  <c r="CH10" i="44"/>
  <c r="CI10" i="44"/>
  <c r="CJ10" i="44"/>
  <c r="CK10" i="44"/>
  <c r="CL10" i="44"/>
  <c r="CM10" i="44"/>
  <c r="CN10" i="44"/>
  <c r="CO10" i="44"/>
  <c r="CQ10" i="44"/>
  <c r="CW10" i="44"/>
  <c r="AB10" i="44" s="1"/>
  <c r="CX10" i="44"/>
  <c r="CY10" i="44"/>
  <c r="CZ10" i="44"/>
  <c r="DB10" i="44"/>
  <c r="DC10" i="44"/>
  <c r="DD10" i="44"/>
  <c r="DF10" i="44"/>
  <c r="DG10" i="44"/>
  <c r="DH10" i="44"/>
  <c r="DI10" i="44"/>
  <c r="DJ10" i="44"/>
  <c r="DK10" i="44"/>
  <c r="DL10" i="44"/>
  <c r="DM10" i="44"/>
  <c r="DN10" i="44"/>
  <c r="DO10" i="44"/>
  <c r="DP10" i="44"/>
  <c r="DQ10" i="44"/>
  <c r="DR10" i="44"/>
  <c r="DS10" i="44"/>
  <c r="DT10" i="44"/>
  <c r="DU10" i="44"/>
  <c r="DV10" i="44"/>
  <c r="DW10" i="44"/>
  <c r="DX10" i="44"/>
  <c r="DY10" i="44"/>
  <c r="DZ10" i="44"/>
  <c r="EA10" i="44"/>
  <c r="EB10" i="44"/>
  <c r="EC10" i="44"/>
  <c r="ED10" i="44"/>
  <c r="EE10" i="44"/>
  <c r="EF10" i="44"/>
  <c r="EG10" i="44"/>
  <c r="EH10" i="44"/>
  <c r="EK10" i="44"/>
  <c r="EL10" i="44"/>
  <c r="EM10" i="44"/>
  <c r="EN10" i="44"/>
  <c r="EQ10" i="44"/>
  <c r="ER10" i="44"/>
  <c r="ES10" i="44"/>
  <c r="ET10" i="44"/>
  <c r="EU10" i="44"/>
  <c r="EV10" i="44"/>
  <c r="EW10" i="44"/>
  <c r="EX10" i="44"/>
  <c r="EZ10" i="44"/>
  <c r="FF10" i="44"/>
  <c r="FG10" i="44"/>
  <c r="FH10" i="44"/>
  <c r="AI11" i="44"/>
  <c r="AJ11" i="44"/>
  <c r="AK11" i="44"/>
  <c r="AM11" i="44"/>
  <c r="AO11" i="44" s="1"/>
  <c r="AN11" i="44"/>
  <c r="AP11" i="44"/>
  <c r="AQ11" i="44"/>
  <c r="AR11" i="44"/>
  <c r="AS11" i="44"/>
  <c r="AT11" i="44"/>
  <c r="AU11" i="44"/>
  <c r="AW11" i="44"/>
  <c r="AX11" i="44"/>
  <c r="AY11" i="44"/>
  <c r="AZ11" i="44"/>
  <c r="BA11" i="44"/>
  <c r="BB11" i="44"/>
  <c r="BC11" i="44"/>
  <c r="BI11" i="44"/>
  <c r="BJ11" i="44"/>
  <c r="BK11" i="44"/>
  <c r="BL11" i="44"/>
  <c r="BM11" i="44"/>
  <c r="BN11" i="44"/>
  <c r="BO11" i="44"/>
  <c r="BP11" i="44"/>
  <c r="BQ11" i="44"/>
  <c r="BR11" i="44"/>
  <c r="BS11" i="44"/>
  <c r="BT11" i="44"/>
  <c r="BU11" i="44"/>
  <c r="BV11" i="44"/>
  <c r="BW11" i="44"/>
  <c r="BX11" i="44"/>
  <c r="BY11" i="44"/>
  <c r="BZ11" i="44"/>
  <c r="CA11" i="44"/>
  <c r="CB11" i="44"/>
  <c r="CC11" i="44"/>
  <c r="CD11" i="44"/>
  <c r="CF11" i="44"/>
  <c r="CG11" i="44"/>
  <c r="CH11" i="44"/>
  <c r="CI11" i="44"/>
  <c r="CJ11" i="44"/>
  <c r="CK11" i="44"/>
  <c r="CL11" i="44"/>
  <c r="CM11" i="44"/>
  <c r="CN11" i="44"/>
  <c r="CO11" i="44"/>
  <c r="CQ11" i="44"/>
  <c r="CW11" i="44"/>
  <c r="CX11" i="44"/>
  <c r="CY11" i="44"/>
  <c r="CZ11" i="44"/>
  <c r="DB11" i="44"/>
  <c r="DC11" i="44"/>
  <c r="DD11" i="44"/>
  <c r="DF11" i="44"/>
  <c r="DG11" i="44"/>
  <c r="DH11" i="44"/>
  <c r="DI11" i="44"/>
  <c r="DJ11" i="44"/>
  <c r="DK11" i="44"/>
  <c r="DL11" i="44"/>
  <c r="DM11" i="44"/>
  <c r="DN11" i="44"/>
  <c r="DO11" i="44"/>
  <c r="DP11" i="44"/>
  <c r="DQ11" i="44"/>
  <c r="DR11" i="44"/>
  <c r="DS11" i="44"/>
  <c r="DT11" i="44"/>
  <c r="DU11" i="44"/>
  <c r="DV11" i="44"/>
  <c r="DW11" i="44"/>
  <c r="DX11" i="44"/>
  <c r="DY11" i="44"/>
  <c r="DZ11" i="44"/>
  <c r="EA11" i="44"/>
  <c r="EB11" i="44"/>
  <c r="EC11" i="44"/>
  <c r="ED11" i="44"/>
  <c r="EE11" i="44"/>
  <c r="EF11" i="44"/>
  <c r="EG11" i="44"/>
  <c r="EH11" i="44"/>
  <c r="EK11" i="44"/>
  <c r="EL11" i="44"/>
  <c r="EM11" i="44"/>
  <c r="EN11" i="44"/>
  <c r="EQ11" i="44"/>
  <c r="ER11" i="44"/>
  <c r="ES11" i="44"/>
  <c r="ET11" i="44"/>
  <c r="EU11" i="44"/>
  <c r="EV11" i="44"/>
  <c r="EW11" i="44"/>
  <c r="EX11" i="44"/>
  <c r="EZ11" i="44"/>
  <c r="FF11" i="44"/>
  <c r="FG11" i="44"/>
  <c r="FH11" i="44"/>
  <c r="AI12" i="44"/>
  <c r="AJ12" i="44"/>
  <c r="AK12" i="44"/>
  <c r="AM12" i="44"/>
  <c r="AN12" i="44"/>
  <c r="AP12" i="44"/>
  <c r="AQ12" i="44"/>
  <c r="AR12" i="44"/>
  <c r="AS12" i="44"/>
  <c r="AT12" i="44"/>
  <c r="AU12" i="44"/>
  <c r="AW12" i="44"/>
  <c r="AX12" i="44"/>
  <c r="AY12" i="44"/>
  <c r="AZ12" i="44"/>
  <c r="BA12" i="44"/>
  <c r="BB12" i="44"/>
  <c r="BC12" i="44"/>
  <c r="BI12" i="44"/>
  <c r="BJ12" i="44"/>
  <c r="BK12" i="44"/>
  <c r="BL12" i="44"/>
  <c r="BM12" i="44"/>
  <c r="BN12" i="44"/>
  <c r="BO12" i="44"/>
  <c r="BP12" i="44"/>
  <c r="BQ12" i="44"/>
  <c r="BR12" i="44"/>
  <c r="BS12" i="44"/>
  <c r="BT12" i="44"/>
  <c r="BU12" i="44"/>
  <c r="BV12" i="44"/>
  <c r="BW12" i="44"/>
  <c r="BX12" i="44"/>
  <c r="BY12" i="44"/>
  <c r="BZ12" i="44"/>
  <c r="CA12" i="44"/>
  <c r="CB12" i="44"/>
  <c r="CC12" i="44"/>
  <c r="CD12" i="44"/>
  <c r="CF12" i="44"/>
  <c r="CG12" i="44"/>
  <c r="CH12" i="44"/>
  <c r="CI12" i="44"/>
  <c r="CJ12" i="44"/>
  <c r="CK12" i="44"/>
  <c r="CL12" i="44"/>
  <c r="CM12" i="44"/>
  <c r="CN12" i="44"/>
  <c r="CO12" i="44"/>
  <c r="CQ12" i="44"/>
  <c r="CW12" i="44"/>
  <c r="CX12" i="44"/>
  <c r="DA12" i="44" s="1"/>
  <c r="CY12" i="44"/>
  <c r="CZ12" i="44"/>
  <c r="DB12" i="44"/>
  <c r="DE12" i="44" s="1"/>
  <c r="DC12" i="44"/>
  <c r="DD12" i="44"/>
  <c r="DF12" i="44"/>
  <c r="DG12" i="44"/>
  <c r="DH12" i="44"/>
  <c r="DI12" i="44"/>
  <c r="DJ12" i="44"/>
  <c r="DK12" i="44"/>
  <c r="DL12" i="44"/>
  <c r="DM12" i="44"/>
  <c r="DN12" i="44"/>
  <c r="DO12" i="44"/>
  <c r="DP12" i="44"/>
  <c r="DQ12" i="44"/>
  <c r="DR12" i="44"/>
  <c r="DS12" i="44"/>
  <c r="DT12" i="44"/>
  <c r="DU12" i="44"/>
  <c r="DV12" i="44"/>
  <c r="DW12" i="44"/>
  <c r="DX12" i="44"/>
  <c r="DY12" i="44"/>
  <c r="DZ12" i="44"/>
  <c r="EA12" i="44"/>
  <c r="EB12" i="44"/>
  <c r="EC12" i="44"/>
  <c r="ED12" i="44"/>
  <c r="EE12" i="44"/>
  <c r="EF12" i="44"/>
  <c r="EG12" i="44"/>
  <c r="EH12" i="44"/>
  <c r="EK12" i="44"/>
  <c r="EL12" i="44"/>
  <c r="EM12" i="44"/>
  <c r="EN12" i="44"/>
  <c r="EQ12" i="44"/>
  <c r="ER12" i="44"/>
  <c r="ES12" i="44"/>
  <c r="ET12" i="44"/>
  <c r="EU12" i="44"/>
  <c r="EV12" i="44"/>
  <c r="EW12" i="44"/>
  <c r="EX12" i="44"/>
  <c r="EZ12" i="44"/>
  <c r="FF12" i="44"/>
  <c r="FG12" i="44"/>
  <c r="FH12" i="44"/>
  <c r="AI13" i="44"/>
  <c r="AJ13" i="44"/>
  <c r="AK13" i="44"/>
  <c r="AM13" i="44"/>
  <c r="AO13" i="44" s="1"/>
  <c r="AN13" i="44"/>
  <c r="AP13" i="44"/>
  <c r="AQ13" i="44"/>
  <c r="AR13" i="44"/>
  <c r="AS13" i="44"/>
  <c r="AT13" i="44"/>
  <c r="AU13" i="44"/>
  <c r="AW13" i="44"/>
  <c r="AX13" i="44"/>
  <c r="AY13" i="44"/>
  <c r="AZ13" i="44"/>
  <c r="BA13" i="44"/>
  <c r="BB13" i="44"/>
  <c r="BC13" i="44"/>
  <c r="BI13" i="44"/>
  <c r="BJ13" i="44"/>
  <c r="BK13" i="44"/>
  <c r="BL13" i="44"/>
  <c r="BM13" i="44"/>
  <c r="BN13" i="44"/>
  <c r="BO13" i="44"/>
  <c r="BP13" i="44"/>
  <c r="BQ13" i="44"/>
  <c r="BR13" i="44"/>
  <c r="BS13" i="44"/>
  <c r="BT13" i="44"/>
  <c r="BU13" i="44"/>
  <c r="BV13" i="44"/>
  <c r="BW13" i="44"/>
  <c r="BX13" i="44"/>
  <c r="BY13" i="44"/>
  <c r="BZ13" i="44"/>
  <c r="CA13" i="44"/>
  <c r="CB13" i="44"/>
  <c r="CC13" i="44"/>
  <c r="CD13" i="44"/>
  <c r="CF13" i="44"/>
  <c r="CG13" i="44"/>
  <c r="CH13" i="44"/>
  <c r="CI13" i="44"/>
  <c r="CJ13" i="44"/>
  <c r="CK13" i="44"/>
  <c r="CL13" i="44"/>
  <c r="CM13" i="44"/>
  <c r="CN13" i="44"/>
  <c r="CO13" i="44"/>
  <c r="CQ13" i="44"/>
  <c r="CW13" i="44"/>
  <c r="CX13" i="44"/>
  <c r="CY13" i="44"/>
  <c r="CZ13" i="44"/>
  <c r="DB13" i="44"/>
  <c r="DC13" i="44"/>
  <c r="DD13" i="44"/>
  <c r="DF13" i="44"/>
  <c r="DG13" i="44"/>
  <c r="DH13" i="44"/>
  <c r="DI13" i="44"/>
  <c r="DJ13" i="44"/>
  <c r="DK13" i="44"/>
  <c r="DL13" i="44"/>
  <c r="DM13" i="44"/>
  <c r="DN13" i="44"/>
  <c r="DO13" i="44"/>
  <c r="DP13" i="44"/>
  <c r="DQ13" i="44"/>
  <c r="DR13" i="44"/>
  <c r="DS13" i="44"/>
  <c r="DT13" i="44"/>
  <c r="DU13" i="44"/>
  <c r="DV13" i="44"/>
  <c r="DW13" i="44"/>
  <c r="DX13" i="44"/>
  <c r="DY13" i="44"/>
  <c r="DZ13" i="44"/>
  <c r="EA13" i="44"/>
  <c r="EB13" i="44"/>
  <c r="EC13" i="44"/>
  <c r="ED13" i="44"/>
  <c r="EE13" i="44"/>
  <c r="EF13" i="44"/>
  <c r="EG13" i="44"/>
  <c r="EH13" i="44"/>
  <c r="EK13" i="44"/>
  <c r="EL13" i="44"/>
  <c r="EM13" i="44"/>
  <c r="EN13" i="44"/>
  <c r="EQ13" i="44"/>
  <c r="ER13" i="44"/>
  <c r="ES13" i="44"/>
  <c r="ET13" i="44"/>
  <c r="EU13" i="44"/>
  <c r="EV13" i="44"/>
  <c r="EW13" i="44"/>
  <c r="EX13" i="44"/>
  <c r="EZ13" i="44"/>
  <c r="FF13" i="44"/>
  <c r="FG13" i="44"/>
  <c r="FH13" i="44"/>
  <c r="AI14" i="44"/>
  <c r="AJ14" i="44"/>
  <c r="AK14" i="44"/>
  <c r="AM14" i="44"/>
  <c r="AN14" i="44"/>
  <c r="AP14" i="44"/>
  <c r="AQ14" i="44"/>
  <c r="AR14" i="44"/>
  <c r="AS14" i="44"/>
  <c r="AT14" i="44"/>
  <c r="AU14" i="44"/>
  <c r="AW14" i="44"/>
  <c r="AX14" i="44"/>
  <c r="AY14" i="44"/>
  <c r="AZ14" i="44"/>
  <c r="BA14" i="44"/>
  <c r="BB14" i="44"/>
  <c r="BC14" i="44"/>
  <c r="BI14" i="44"/>
  <c r="BJ14" i="44"/>
  <c r="BK14" i="44"/>
  <c r="BL14" i="44"/>
  <c r="BM14" i="44"/>
  <c r="BN14" i="44"/>
  <c r="BO14" i="44"/>
  <c r="BP14" i="44"/>
  <c r="BQ14" i="44"/>
  <c r="BR14" i="44"/>
  <c r="BS14" i="44"/>
  <c r="BT14" i="44"/>
  <c r="BU14" i="44"/>
  <c r="BV14" i="44"/>
  <c r="BW14" i="44"/>
  <c r="BX14" i="44"/>
  <c r="BY14" i="44"/>
  <c r="BZ14" i="44"/>
  <c r="CA14" i="44"/>
  <c r="CB14" i="44"/>
  <c r="CC14" i="44"/>
  <c r="CD14" i="44"/>
  <c r="CF14" i="44"/>
  <c r="CG14" i="44"/>
  <c r="CH14" i="44"/>
  <c r="CI14" i="44"/>
  <c r="CJ14" i="44"/>
  <c r="CK14" i="44"/>
  <c r="CL14" i="44"/>
  <c r="CM14" i="44"/>
  <c r="CN14" i="44"/>
  <c r="CO14" i="44"/>
  <c r="CQ14" i="44"/>
  <c r="CW14" i="44"/>
  <c r="CX14" i="44"/>
  <c r="CY14" i="44"/>
  <c r="CZ14" i="44"/>
  <c r="DB14" i="44"/>
  <c r="DC14" i="44"/>
  <c r="DD14" i="44"/>
  <c r="DF14" i="44"/>
  <c r="DG14" i="44"/>
  <c r="DH14" i="44"/>
  <c r="DI14" i="44"/>
  <c r="DJ14" i="44"/>
  <c r="DK14" i="44"/>
  <c r="DL14" i="44"/>
  <c r="DM14" i="44"/>
  <c r="DN14" i="44"/>
  <c r="DO14" i="44"/>
  <c r="DP14" i="44"/>
  <c r="DQ14" i="44"/>
  <c r="DR14" i="44"/>
  <c r="DS14" i="44"/>
  <c r="DT14" i="44"/>
  <c r="DU14" i="44"/>
  <c r="DV14" i="44"/>
  <c r="DW14" i="44"/>
  <c r="DX14" i="44"/>
  <c r="DY14" i="44"/>
  <c r="DZ14" i="44"/>
  <c r="EA14" i="44"/>
  <c r="EB14" i="44"/>
  <c r="EC14" i="44"/>
  <c r="ED14" i="44"/>
  <c r="EE14" i="44"/>
  <c r="EF14" i="44"/>
  <c r="EG14" i="44"/>
  <c r="EH14" i="44"/>
  <c r="EK14" i="44"/>
  <c r="EL14" i="44"/>
  <c r="EM14" i="44"/>
  <c r="EN14" i="44"/>
  <c r="EQ14" i="44"/>
  <c r="ER14" i="44"/>
  <c r="ES14" i="44"/>
  <c r="ET14" i="44"/>
  <c r="EU14" i="44"/>
  <c r="EV14" i="44"/>
  <c r="EW14" i="44"/>
  <c r="EX14" i="44"/>
  <c r="EZ14" i="44"/>
  <c r="FF14" i="44"/>
  <c r="FG14" i="44"/>
  <c r="FH14" i="44"/>
  <c r="AI15" i="44"/>
  <c r="AJ15" i="44"/>
  <c r="AK15" i="44"/>
  <c r="AM15" i="44"/>
  <c r="AN15" i="44"/>
  <c r="AP15" i="44"/>
  <c r="AQ15" i="44"/>
  <c r="AR15" i="44"/>
  <c r="AS15" i="44"/>
  <c r="AT15" i="44"/>
  <c r="AU15" i="44"/>
  <c r="AW15" i="44"/>
  <c r="AX15" i="44"/>
  <c r="AY15" i="44"/>
  <c r="AZ15" i="44"/>
  <c r="BA15" i="44"/>
  <c r="BB15" i="44"/>
  <c r="BC15" i="44"/>
  <c r="BI15" i="44"/>
  <c r="BJ15" i="44"/>
  <c r="BK15" i="44"/>
  <c r="BL15" i="44"/>
  <c r="BM15" i="44"/>
  <c r="BN15" i="44"/>
  <c r="BO15" i="44"/>
  <c r="BP15" i="44"/>
  <c r="BQ15" i="44"/>
  <c r="BR15" i="44"/>
  <c r="BS15" i="44"/>
  <c r="BT15" i="44"/>
  <c r="BU15" i="44"/>
  <c r="BV15" i="44"/>
  <c r="BW15" i="44"/>
  <c r="BX15" i="44"/>
  <c r="BY15" i="44"/>
  <c r="BZ15" i="44"/>
  <c r="CA15" i="44"/>
  <c r="CB15" i="44"/>
  <c r="CC15" i="44"/>
  <c r="CD15" i="44"/>
  <c r="CF15" i="44"/>
  <c r="CG15" i="44"/>
  <c r="CH15" i="44"/>
  <c r="CI15" i="44"/>
  <c r="CJ15" i="44"/>
  <c r="CK15" i="44"/>
  <c r="CL15" i="44"/>
  <c r="CM15" i="44"/>
  <c r="CN15" i="44"/>
  <c r="CO15" i="44"/>
  <c r="CQ15" i="44"/>
  <c r="CW15" i="44"/>
  <c r="CX15" i="44"/>
  <c r="CY15" i="44"/>
  <c r="CZ15" i="44"/>
  <c r="DB15" i="44"/>
  <c r="DC15" i="44"/>
  <c r="DD15" i="44"/>
  <c r="DF15" i="44"/>
  <c r="DG15" i="44"/>
  <c r="DH15" i="44"/>
  <c r="DI15" i="44"/>
  <c r="DJ15" i="44"/>
  <c r="DK15" i="44"/>
  <c r="DL15" i="44"/>
  <c r="DM15" i="44"/>
  <c r="DN15" i="44"/>
  <c r="DO15" i="44"/>
  <c r="DP15" i="44"/>
  <c r="DQ15" i="44"/>
  <c r="DR15" i="44"/>
  <c r="DS15" i="44"/>
  <c r="DT15" i="44"/>
  <c r="DU15" i="44"/>
  <c r="DV15" i="44"/>
  <c r="DW15" i="44"/>
  <c r="DX15" i="44"/>
  <c r="DY15" i="44"/>
  <c r="DZ15" i="44"/>
  <c r="EA15" i="44"/>
  <c r="EB15" i="44"/>
  <c r="EC15" i="44"/>
  <c r="ED15" i="44"/>
  <c r="EE15" i="44"/>
  <c r="EF15" i="44"/>
  <c r="EG15" i="44"/>
  <c r="EH15" i="44"/>
  <c r="EK15" i="44"/>
  <c r="EL15" i="44"/>
  <c r="EM15" i="44"/>
  <c r="EN15" i="44"/>
  <c r="EQ15" i="44"/>
  <c r="ER15" i="44"/>
  <c r="ES15" i="44"/>
  <c r="ET15" i="44"/>
  <c r="EU15" i="44"/>
  <c r="EV15" i="44"/>
  <c r="EW15" i="44"/>
  <c r="EX15" i="44"/>
  <c r="EZ15" i="44"/>
  <c r="FF15" i="44"/>
  <c r="FG15" i="44"/>
  <c r="FH15" i="44"/>
  <c r="AI16" i="44"/>
  <c r="AJ16" i="44"/>
  <c r="AK16" i="44"/>
  <c r="AM16" i="44"/>
  <c r="AN16" i="44"/>
  <c r="AP16" i="44"/>
  <c r="AQ16" i="44"/>
  <c r="AR16" i="44"/>
  <c r="AS16" i="44"/>
  <c r="AT16" i="44"/>
  <c r="AU16" i="44"/>
  <c r="AW16" i="44"/>
  <c r="AX16" i="44"/>
  <c r="AY16" i="44"/>
  <c r="AZ16" i="44"/>
  <c r="BA16" i="44"/>
  <c r="BB16" i="44"/>
  <c r="BC16" i="44"/>
  <c r="BI16" i="44"/>
  <c r="BJ16" i="44"/>
  <c r="BK16" i="44"/>
  <c r="BL16" i="44"/>
  <c r="BM16" i="44"/>
  <c r="BN16" i="44"/>
  <c r="BO16" i="44"/>
  <c r="BP16" i="44"/>
  <c r="BQ16" i="44"/>
  <c r="BR16" i="44"/>
  <c r="BS16" i="44"/>
  <c r="BT16" i="44"/>
  <c r="BU16" i="44"/>
  <c r="BV16" i="44"/>
  <c r="BW16" i="44"/>
  <c r="BX16" i="44"/>
  <c r="BY16" i="44"/>
  <c r="BZ16" i="44"/>
  <c r="CA16" i="44"/>
  <c r="CB16" i="44"/>
  <c r="CC16" i="44"/>
  <c r="CD16" i="44"/>
  <c r="CF16" i="44"/>
  <c r="CG16" i="44"/>
  <c r="CH16" i="44"/>
  <c r="CI16" i="44"/>
  <c r="CJ16" i="44"/>
  <c r="CK16" i="44"/>
  <c r="CL16" i="44"/>
  <c r="CM16" i="44"/>
  <c r="CN16" i="44"/>
  <c r="CO16" i="44"/>
  <c r="CQ16" i="44"/>
  <c r="CW16" i="44"/>
  <c r="CX16" i="44"/>
  <c r="CY16" i="44"/>
  <c r="CZ16" i="44"/>
  <c r="DB16" i="44"/>
  <c r="DC16" i="44"/>
  <c r="DD16" i="44"/>
  <c r="DF16" i="44"/>
  <c r="DG16" i="44"/>
  <c r="DH16" i="44"/>
  <c r="DI16" i="44"/>
  <c r="DJ16" i="44"/>
  <c r="DK16" i="44"/>
  <c r="DL16" i="44"/>
  <c r="DM16" i="44"/>
  <c r="DN16" i="44"/>
  <c r="DO16" i="44"/>
  <c r="DP16" i="44"/>
  <c r="DQ16" i="44"/>
  <c r="DR16" i="44"/>
  <c r="DS16" i="44"/>
  <c r="DT16" i="44"/>
  <c r="DU16" i="44"/>
  <c r="DV16" i="44"/>
  <c r="DW16" i="44"/>
  <c r="DX16" i="44"/>
  <c r="DY16" i="44"/>
  <c r="DZ16" i="44"/>
  <c r="EA16" i="44"/>
  <c r="EB16" i="44"/>
  <c r="EC16" i="44"/>
  <c r="ED16" i="44"/>
  <c r="EE16" i="44"/>
  <c r="EF16" i="44"/>
  <c r="EG16" i="44"/>
  <c r="EH16" i="44"/>
  <c r="EK16" i="44"/>
  <c r="EL16" i="44"/>
  <c r="EM16" i="44"/>
  <c r="EN16" i="44"/>
  <c r="EQ16" i="44"/>
  <c r="ER16" i="44"/>
  <c r="ES16" i="44"/>
  <c r="ET16" i="44"/>
  <c r="EU16" i="44"/>
  <c r="EV16" i="44"/>
  <c r="EW16" i="44"/>
  <c r="EX16" i="44"/>
  <c r="EZ16" i="44"/>
  <c r="FF16" i="44"/>
  <c r="FG16" i="44"/>
  <c r="FH16" i="44"/>
  <c r="AI17" i="44"/>
  <c r="AJ17" i="44"/>
  <c r="AK17" i="44"/>
  <c r="AM17" i="44"/>
  <c r="AN17" i="44"/>
  <c r="AP17" i="44"/>
  <c r="AQ17" i="44"/>
  <c r="AR17" i="44"/>
  <c r="AS17" i="44"/>
  <c r="AT17" i="44"/>
  <c r="AU17" i="44"/>
  <c r="AW17" i="44"/>
  <c r="AX17" i="44"/>
  <c r="AY17" i="44"/>
  <c r="AZ17" i="44"/>
  <c r="BA17" i="44"/>
  <c r="BB17" i="44"/>
  <c r="BC17" i="44"/>
  <c r="BI17" i="44"/>
  <c r="BJ17" i="44"/>
  <c r="BK17" i="44"/>
  <c r="BL17" i="44"/>
  <c r="BM17" i="44"/>
  <c r="BN17" i="44"/>
  <c r="BO17" i="44"/>
  <c r="BP17" i="44"/>
  <c r="BQ17" i="44"/>
  <c r="BR17" i="44"/>
  <c r="BS17" i="44"/>
  <c r="BT17" i="44"/>
  <c r="BU17" i="44"/>
  <c r="BV17" i="44"/>
  <c r="BW17" i="44"/>
  <c r="BX17" i="44"/>
  <c r="BY17" i="44"/>
  <c r="BZ17" i="44"/>
  <c r="CA17" i="44"/>
  <c r="CB17" i="44"/>
  <c r="CC17" i="44"/>
  <c r="CD17" i="44"/>
  <c r="CF17" i="44"/>
  <c r="CG17" i="44"/>
  <c r="CH17" i="44"/>
  <c r="CI17" i="44"/>
  <c r="CJ17" i="44"/>
  <c r="CK17" i="44"/>
  <c r="CL17" i="44"/>
  <c r="CM17" i="44"/>
  <c r="CN17" i="44"/>
  <c r="CO17" i="44"/>
  <c r="CQ17" i="44"/>
  <c r="CW17" i="44"/>
  <c r="CX17" i="44"/>
  <c r="CY17" i="44"/>
  <c r="CZ17" i="44"/>
  <c r="DB17" i="44"/>
  <c r="DC17" i="44"/>
  <c r="DD17" i="44"/>
  <c r="DF17" i="44"/>
  <c r="DG17" i="44"/>
  <c r="DH17" i="44"/>
  <c r="DI17" i="44"/>
  <c r="DJ17" i="44"/>
  <c r="DK17" i="44"/>
  <c r="DL17" i="44"/>
  <c r="DM17" i="44"/>
  <c r="DN17" i="44"/>
  <c r="DO17" i="44"/>
  <c r="DP17" i="44"/>
  <c r="DQ17" i="44"/>
  <c r="DR17" i="44"/>
  <c r="DS17" i="44"/>
  <c r="DT17" i="44"/>
  <c r="DU17" i="44"/>
  <c r="DV17" i="44"/>
  <c r="DW17" i="44"/>
  <c r="DX17" i="44"/>
  <c r="DY17" i="44"/>
  <c r="DZ17" i="44"/>
  <c r="EA17" i="44"/>
  <c r="EB17" i="44"/>
  <c r="EC17" i="44"/>
  <c r="ED17" i="44"/>
  <c r="EE17" i="44"/>
  <c r="EF17" i="44"/>
  <c r="EG17" i="44"/>
  <c r="EH17" i="44"/>
  <c r="EK17" i="44"/>
  <c r="EL17" i="44"/>
  <c r="EM17" i="44"/>
  <c r="EN17" i="44"/>
  <c r="EQ17" i="44"/>
  <c r="ER17" i="44"/>
  <c r="ES17" i="44"/>
  <c r="ET17" i="44"/>
  <c r="EU17" i="44"/>
  <c r="EV17" i="44"/>
  <c r="EW17" i="44"/>
  <c r="EX17" i="44"/>
  <c r="EZ17" i="44"/>
  <c r="FF17" i="44"/>
  <c r="FG17" i="44"/>
  <c r="FH17" i="44"/>
  <c r="FI17" i="44"/>
  <c r="AI18" i="44"/>
  <c r="AJ18" i="44"/>
  <c r="AK18" i="44"/>
  <c r="AM18" i="44"/>
  <c r="AN18" i="44"/>
  <c r="AP18" i="44"/>
  <c r="AQ18" i="44"/>
  <c r="AR18" i="44"/>
  <c r="AS18" i="44"/>
  <c r="AT18" i="44"/>
  <c r="AU18" i="44"/>
  <c r="AW18" i="44"/>
  <c r="AX18" i="44"/>
  <c r="AY18" i="44"/>
  <c r="AZ18" i="44"/>
  <c r="BA18" i="44"/>
  <c r="BB18" i="44"/>
  <c r="BC18" i="44"/>
  <c r="BI18" i="44"/>
  <c r="BJ18" i="44"/>
  <c r="BK18" i="44"/>
  <c r="BL18" i="44"/>
  <c r="BM18" i="44"/>
  <c r="BN18" i="44"/>
  <c r="BO18" i="44"/>
  <c r="BP18" i="44"/>
  <c r="BQ18" i="44"/>
  <c r="BR18" i="44"/>
  <c r="BS18" i="44"/>
  <c r="BT18" i="44"/>
  <c r="BU18" i="44"/>
  <c r="BV18" i="44"/>
  <c r="BW18" i="44"/>
  <c r="BX18" i="44"/>
  <c r="BY18" i="44"/>
  <c r="BZ18" i="44"/>
  <c r="CA18" i="44"/>
  <c r="CB18" i="44"/>
  <c r="CC18" i="44"/>
  <c r="CD18" i="44"/>
  <c r="CF18" i="44"/>
  <c r="CG18" i="44"/>
  <c r="CH18" i="44"/>
  <c r="CI18" i="44"/>
  <c r="CJ18" i="44"/>
  <c r="CK18" i="44"/>
  <c r="CL18" i="44"/>
  <c r="CM18" i="44"/>
  <c r="CN18" i="44"/>
  <c r="CO18" i="44"/>
  <c r="CQ18" i="44"/>
  <c r="CW18" i="44"/>
  <c r="CX18" i="44"/>
  <c r="CY18" i="44"/>
  <c r="CZ18" i="44"/>
  <c r="DB18" i="44"/>
  <c r="DC18" i="44"/>
  <c r="DD18" i="44"/>
  <c r="DF18" i="44"/>
  <c r="DG18" i="44"/>
  <c r="DH18" i="44"/>
  <c r="DI18" i="44"/>
  <c r="DJ18" i="44"/>
  <c r="DK18" i="44"/>
  <c r="DL18" i="44"/>
  <c r="DM18" i="44"/>
  <c r="DN18" i="44"/>
  <c r="DO18" i="44"/>
  <c r="DP18" i="44"/>
  <c r="DQ18" i="44"/>
  <c r="DR18" i="44"/>
  <c r="DS18" i="44"/>
  <c r="DT18" i="44"/>
  <c r="DU18" i="44"/>
  <c r="DV18" i="44"/>
  <c r="DW18" i="44"/>
  <c r="DX18" i="44"/>
  <c r="DY18" i="44"/>
  <c r="DZ18" i="44"/>
  <c r="EA18" i="44"/>
  <c r="EB18" i="44"/>
  <c r="EC18" i="44"/>
  <c r="ED18" i="44"/>
  <c r="EE18" i="44"/>
  <c r="EF18" i="44"/>
  <c r="EG18" i="44"/>
  <c r="EH18" i="44"/>
  <c r="EK18" i="44"/>
  <c r="EL18" i="44"/>
  <c r="EM18" i="44"/>
  <c r="EN18" i="44"/>
  <c r="EQ18" i="44"/>
  <c r="ER18" i="44"/>
  <c r="ES18" i="44"/>
  <c r="ET18" i="44"/>
  <c r="EU18" i="44"/>
  <c r="EV18" i="44"/>
  <c r="EW18" i="44"/>
  <c r="EX18" i="44"/>
  <c r="EZ18" i="44"/>
  <c r="FF18" i="44"/>
  <c r="FG18" i="44"/>
  <c r="FH18" i="44"/>
  <c r="AI19" i="44"/>
  <c r="AJ19" i="44"/>
  <c r="AK19" i="44"/>
  <c r="AM19" i="44"/>
  <c r="AN19" i="44"/>
  <c r="AP19" i="44"/>
  <c r="AQ19" i="44"/>
  <c r="AR19" i="44"/>
  <c r="AS19" i="44"/>
  <c r="AT19" i="44"/>
  <c r="AU19" i="44"/>
  <c r="AW19" i="44"/>
  <c r="AX19" i="44"/>
  <c r="AY19" i="44"/>
  <c r="AZ19" i="44"/>
  <c r="BA19" i="44"/>
  <c r="BB19" i="44"/>
  <c r="BC19" i="44"/>
  <c r="BI19" i="44"/>
  <c r="BJ19" i="44"/>
  <c r="BK19" i="44"/>
  <c r="BL19" i="44"/>
  <c r="BM19" i="44"/>
  <c r="BN19" i="44"/>
  <c r="BO19" i="44"/>
  <c r="BP19" i="44"/>
  <c r="BQ19" i="44"/>
  <c r="BR19" i="44"/>
  <c r="BS19" i="44"/>
  <c r="BT19" i="44"/>
  <c r="BU19" i="44"/>
  <c r="BV19" i="44"/>
  <c r="BW19" i="44"/>
  <c r="BX19" i="44"/>
  <c r="BY19" i="44"/>
  <c r="BZ19" i="44"/>
  <c r="CA19" i="44"/>
  <c r="CB19" i="44"/>
  <c r="CC19" i="44"/>
  <c r="CD19" i="44"/>
  <c r="CF19" i="44"/>
  <c r="CG19" i="44"/>
  <c r="CH19" i="44"/>
  <c r="CI19" i="44"/>
  <c r="CJ19" i="44"/>
  <c r="CK19" i="44"/>
  <c r="CL19" i="44"/>
  <c r="CM19" i="44"/>
  <c r="CN19" i="44"/>
  <c r="CO19" i="44"/>
  <c r="CQ19" i="44"/>
  <c r="CW19" i="44"/>
  <c r="CX19" i="44"/>
  <c r="CY19" i="44"/>
  <c r="CZ19" i="44"/>
  <c r="DB19" i="44"/>
  <c r="DC19" i="44"/>
  <c r="DD19" i="44"/>
  <c r="DF19" i="44"/>
  <c r="DG19" i="44"/>
  <c r="DH19" i="44"/>
  <c r="DI19" i="44"/>
  <c r="DJ19" i="44"/>
  <c r="DK19" i="44"/>
  <c r="DL19" i="44"/>
  <c r="DM19" i="44"/>
  <c r="DN19" i="44"/>
  <c r="DO19" i="44"/>
  <c r="DP19" i="44"/>
  <c r="DQ19" i="44"/>
  <c r="DR19" i="44"/>
  <c r="DS19" i="44"/>
  <c r="DT19" i="44"/>
  <c r="DU19" i="44"/>
  <c r="DV19" i="44"/>
  <c r="DW19" i="44"/>
  <c r="DX19" i="44"/>
  <c r="DY19" i="44"/>
  <c r="DZ19" i="44"/>
  <c r="EA19" i="44"/>
  <c r="EB19" i="44"/>
  <c r="EC19" i="44"/>
  <c r="ED19" i="44"/>
  <c r="EE19" i="44"/>
  <c r="EF19" i="44"/>
  <c r="EG19" i="44"/>
  <c r="EH19" i="44"/>
  <c r="EK19" i="44"/>
  <c r="EL19" i="44"/>
  <c r="EM19" i="44"/>
  <c r="EN19" i="44"/>
  <c r="EQ19" i="44"/>
  <c r="ER19" i="44"/>
  <c r="ES19" i="44"/>
  <c r="ET19" i="44"/>
  <c r="EU19" i="44"/>
  <c r="EV19" i="44"/>
  <c r="EW19" i="44"/>
  <c r="EX19" i="44"/>
  <c r="EZ19" i="44"/>
  <c r="FF19" i="44"/>
  <c r="FG19" i="44"/>
  <c r="FH19" i="44"/>
  <c r="AI20" i="44"/>
  <c r="AJ20" i="44"/>
  <c r="AK20" i="44"/>
  <c r="AM20" i="44"/>
  <c r="AN20" i="44"/>
  <c r="AP20" i="44"/>
  <c r="AQ20" i="44"/>
  <c r="AR20" i="44"/>
  <c r="AS20" i="44"/>
  <c r="AT20" i="44"/>
  <c r="AU20" i="44"/>
  <c r="AW20" i="44"/>
  <c r="AX20" i="44"/>
  <c r="AY20" i="44"/>
  <c r="AZ20" i="44"/>
  <c r="BA20" i="44"/>
  <c r="BB20" i="44"/>
  <c r="BC20" i="44"/>
  <c r="BI20" i="44"/>
  <c r="BJ20" i="44"/>
  <c r="BK20" i="44"/>
  <c r="BL20" i="44"/>
  <c r="BM20" i="44"/>
  <c r="BN20" i="44"/>
  <c r="BO20" i="44"/>
  <c r="BP20" i="44"/>
  <c r="BQ20" i="44"/>
  <c r="BR20" i="44"/>
  <c r="BS20" i="44"/>
  <c r="BT20" i="44"/>
  <c r="BU20" i="44"/>
  <c r="BV20" i="44"/>
  <c r="BW20" i="44"/>
  <c r="BX20" i="44"/>
  <c r="BY20" i="44"/>
  <c r="BZ20" i="44"/>
  <c r="CA20" i="44"/>
  <c r="CB20" i="44"/>
  <c r="CC20" i="44"/>
  <c r="CD20" i="44"/>
  <c r="CF20" i="44"/>
  <c r="CG20" i="44"/>
  <c r="CH20" i="44"/>
  <c r="CI20" i="44"/>
  <c r="CJ20" i="44"/>
  <c r="CK20" i="44"/>
  <c r="CL20" i="44"/>
  <c r="CM20" i="44"/>
  <c r="CN20" i="44"/>
  <c r="CO20" i="44"/>
  <c r="CQ20" i="44"/>
  <c r="CW20" i="44"/>
  <c r="CX20" i="44"/>
  <c r="CY20" i="44"/>
  <c r="CZ20" i="44"/>
  <c r="DB20" i="44"/>
  <c r="DC20" i="44"/>
  <c r="DD20" i="44"/>
  <c r="DF20" i="44"/>
  <c r="DG20" i="44"/>
  <c r="DH20" i="44"/>
  <c r="DI20" i="44"/>
  <c r="DJ20" i="44"/>
  <c r="DK20" i="44"/>
  <c r="DL20" i="44"/>
  <c r="DM20" i="44"/>
  <c r="DN20" i="44"/>
  <c r="DO20" i="44"/>
  <c r="DP20" i="44"/>
  <c r="DQ20" i="44"/>
  <c r="DR20" i="44"/>
  <c r="DS20" i="44"/>
  <c r="DT20" i="44"/>
  <c r="DU20" i="44"/>
  <c r="DV20" i="44"/>
  <c r="DW20" i="44"/>
  <c r="DX20" i="44"/>
  <c r="DY20" i="44"/>
  <c r="DZ20" i="44"/>
  <c r="EA20" i="44"/>
  <c r="EB20" i="44"/>
  <c r="EC20" i="44"/>
  <c r="ED20" i="44"/>
  <c r="EE20" i="44"/>
  <c r="EF20" i="44"/>
  <c r="EG20" i="44"/>
  <c r="EH20" i="44"/>
  <c r="EK20" i="44"/>
  <c r="EL20" i="44"/>
  <c r="EM20" i="44"/>
  <c r="EN20" i="44"/>
  <c r="EQ20" i="44"/>
  <c r="ER20" i="44"/>
  <c r="ES20" i="44"/>
  <c r="ET20" i="44"/>
  <c r="EU20" i="44"/>
  <c r="EV20" i="44"/>
  <c r="EW20" i="44"/>
  <c r="EX20" i="44"/>
  <c r="EZ20" i="44"/>
  <c r="FF20" i="44"/>
  <c r="FG20" i="44"/>
  <c r="FH20" i="44"/>
  <c r="AI21" i="44"/>
  <c r="AJ21" i="44"/>
  <c r="AK21" i="44"/>
  <c r="AM21" i="44"/>
  <c r="AN21" i="44"/>
  <c r="AP21" i="44"/>
  <c r="AQ21" i="44"/>
  <c r="AR21" i="44"/>
  <c r="AS21" i="44"/>
  <c r="AT21" i="44"/>
  <c r="AU21" i="44"/>
  <c r="AW21" i="44"/>
  <c r="AX21" i="44"/>
  <c r="AY21" i="44"/>
  <c r="AZ21" i="44"/>
  <c r="BA21" i="44"/>
  <c r="BB21" i="44"/>
  <c r="BC21" i="44"/>
  <c r="BI21" i="44"/>
  <c r="BJ21" i="44"/>
  <c r="BK21" i="44"/>
  <c r="BL21" i="44"/>
  <c r="BM21" i="44"/>
  <c r="BN21" i="44"/>
  <c r="BO21" i="44"/>
  <c r="BP21" i="44"/>
  <c r="BQ21" i="44"/>
  <c r="BR21" i="44"/>
  <c r="BS21" i="44"/>
  <c r="BT21" i="44"/>
  <c r="BU21" i="44"/>
  <c r="BV21" i="44"/>
  <c r="BW21" i="44"/>
  <c r="BX21" i="44"/>
  <c r="BY21" i="44"/>
  <c r="BZ21" i="44"/>
  <c r="CA21" i="44"/>
  <c r="CB21" i="44"/>
  <c r="CC21" i="44"/>
  <c r="CD21" i="44"/>
  <c r="CF21" i="44"/>
  <c r="CG21" i="44"/>
  <c r="CH21" i="44"/>
  <c r="CI21" i="44"/>
  <c r="CJ21" i="44"/>
  <c r="CK21" i="44"/>
  <c r="CL21" i="44"/>
  <c r="CM21" i="44"/>
  <c r="CN21" i="44"/>
  <c r="CO21" i="44"/>
  <c r="CQ21" i="44"/>
  <c r="CW21" i="44"/>
  <c r="CX21" i="44"/>
  <c r="CY21" i="44"/>
  <c r="CZ21" i="44"/>
  <c r="DB21" i="44"/>
  <c r="DC21" i="44"/>
  <c r="DD21" i="44"/>
  <c r="DF21" i="44"/>
  <c r="DG21" i="44"/>
  <c r="DH21" i="44"/>
  <c r="DI21" i="44"/>
  <c r="DJ21" i="44"/>
  <c r="DK21" i="44"/>
  <c r="DL21" i="44"/>
  <c r="DM21" i="44"/>
  <c r="DN21" i="44"/>
  <c r="DO21" i="44"/>
  <c r="DP21" i="44"/>
  <c r="DQ21" i="44"/>
  <c r="DR21" i="44"/>
  <c r="DS21" i="44"/>
  <c r="DT21" i="44"/>
  <c r="DU21" i="44"/>
  <c r="DV21" i="44"/>
  <c r="DW21" i="44"/>
  <c r="DX21" i="44"/>
  <c r="DY21" i="44"/>
  <c r="DZ21" i="44"/>
  <c r="EA21" i="44"/>
  <c r="EB21" i="44"/>
  <c r="EC21" i="44"/>
  <c r="ED21" i="44"/>
  <c r="EE21" i="44"/>
  <c r="EF21" i="44"/>
  <c r="EG21" i="44"/>
  <c r="EH21" i="44"/>
  <c r="EK21" i="44"/>
  <c r="EL21" i="44"/>
  <c r="EM21" i="44"/>
  <c r="EN21" i="44"/>
  <c r="EQ21" i="44"/>
  <c r="ER21" i="44"/>
  <c r="ES21" i="44"/>
  <c r="ET21" i="44"/>
  <c r="EU21" i="44"/>
  <c r="EV21" i="44"/>
  <c r="EW21" i="44"/>
  <c r="EX21" i="44"/>
  <c r="EZ21" i="44"/>
  <c r="FF21" i="44"/>
  <c r="FG21" i="44"/>
  <c r="FH21" i="44"/>
  <c r="FI21" i="44" s="1"/>
  <c r="AI22" i="44"/>
  <c r="AJ22" i="44"/>
  <c r="AK22" i="44"/>
  <c r="AM22" i="44"/>
  <c r="AN22" i="44"/>
  <c r="AP22" i="44"/>
  <c r="AQ22" i="44"/>
  <c r="AR22" i="44"/>
  <c r="AS22" i="44"/>
  <c r="AT22" i="44"/>
  <c r="AU22" i="44"/>
  <c r="AW22" i="44"/>
  <c r="AX22" i="44"/>
  <c r="AY22" i="44"/>
  <c r="AZ22" i="44"/>
  <c r="BA22" i="44"/>
  <c r="BB22" i="44"/>
  <c r="BC22" i="44"/>
  <c r="BI22" i="44"/>
  <c r="BJ22" i="44"/>
  <c r="BK22" i="44"/>
  <c r="BL22" i="44"/>
  <c r="BM22" i="44"/>
  <c r="BN22" i="44"/>
  <c r="BO22" i="44"/>
  <c r="BP22" i="44"/>
  <c r="BQ22" i="44"/>
  <c r="BR22" i="44"/>
  <c r="BS22" i="44"/>
  <c r="BT22" i="44"/>
  <c r="BU22" i="44"/>
  <c r="BV22" i="44"/>
  <c r="BW22" i="44"/>
  <c r="BX22" i="44"/>
  <c r="BY22" i="44"/>
  <c r="BZ22" i="44"/>
  <c r="CA22" i="44"/>
  <c r="CB22" i="44"/>
  <c r="CC22" i="44"/>
  <c r="CD22" i="44"/>
  <c r="CF22" i="44"/>
  <c r="CG22" i="44"/>
  <c r="CH22" i="44"/>
  <c r="CI22" i="44"/>
  <c r="CJ22" i="44"/>
  <c r="CK22" i="44"/>
  <c r="CL22" i="44"/>
  <c r="CM22" i="44"/>
  <c r="CN22" i="44"/>
  <c r="CO22" i="44"/>
  <c r="CQ22" i="44"/>
  <c r="CW22" i="44"/>
  <c r="CX22" i="44"/>
  <c r="CY22" i="44"/>
  <c r="CZ22" i="44"/>
  <c r="DB22" i="44"/>
  <c r="DC22" i="44"/>
  <c r="DD22" i="44"/>
  <c r="DF22" i="44"/>
  <c r="DG22" i="44"/>
  <c r="DH22" i="44"/>
  <c r="DI22" i="44"/>
  <c r="DJ22" i="44"/>
  <c r="DK22" i="44"/>
  <c r="DL22" i="44"/>
  <c r="DM22" i="44"/>
  <c r="DN22" i="44"/>
  <c r="DO22" i="44"/>
  <c r="DP22" i="44"/>
  <c r="DQ22" i="44"/>
  <c r="DR22" i="44"/>
  <c r="DS22" i="44"/>
  <c r="DT22" i="44"/>
  <c r="DU22" i="44"/>
  <c r="DV22" i="44"/>
  <c r="DW22" i="44"/>
  <c r="DX22" i="44"/>
  <c r="DY22" i="44"/>
  <c r="DZ22" i="44"/>
  <c r="EA22" i="44"/>
  <c r="EB22" i="44"/>
  <c r="EC22" i="44"/>
  <c r="ED22" i="44"/>
  <c r="EE22" i="44"/>
  <c r="EF22" i="44"/>
  <c r="EG22" i="44"/>
  <c r="EH22" i="44"/>
  <c r="EK22" i="44"/>
  <c r="EL22" i="44"/>
  <c r="EM22" i="44"/>
  <c r="EN22" i="44"/>
  <c r="EQ22" i="44"/>
  <c r="ER22" i="44"/>
  <c r="ES22" i="44"/>
  <c r="ET22" i="44"/>
  <c r="EU22" i="44"/>
  <c r="EV22" i="44"/>
  <c r="EW22" i="44"/>
  <c r="EX22" i="44"/>
  <c r="EZ22" i="44"/>
  <c r="FF22" i="44"/>
  <c r="FG22" i="44"/>
  <c r="FH22" i="44"/>
  <c r="AI23" i="44"/>
  <c r="AJ23" i="44"/>
  <c r="AK23" i="44"/>
  <c r="AM23" i="44"/>
  <c r="AN23" i="44"/>
  <c r="AP23" i="44"/>
  <c r="AQ23" i="44"/>
  <c r="AR23" i="44"/>
  <c r="AS23" i="44"/>
  <c r="AT23" i="44"/>
  <c r="AU23" i="44"/>
  <c r="AW23" i="44"/>
  <c r="AX23" i="44"/>
  <c r="AY23" i="44"/>
  <c r="AZ23" i="44"/>
  <c r="BA23" i="44"/>
  <c r="BB23" i="44"/>
  <c r="BC23" i="44"/>
  <c r="BI23" i="44"/>
  <c r="BJ23" i="44"/>
  <c r="BK23" i="44"/>
  <c r="BL23" i="44"/>
  <c r="BM23" i="44"/>
  <c r="BN23" i="44"/>
  <c r="BO23" i="44"/>
  <c r="BP23" i="44"/>
  <c r="BQ23" i="44"/>
  <c r="BR23" i="44"/>
  <c r="BS23" i="44"/>
  <c r="BT23" i="44"/>
  <c r="BU23" i="44"/>
  <c r="BV23" i="44"/>
  <c r="BW23" i="44"/>
  <c r="BX23" i="44"/>
  <c r="BY23" i="44"/>
  <c r="BZ23" i="44"/>
  <c r="CA23" i="44"/>
  <c r="CB23" i="44"/>
  <c r="CC23" i="44"/>
  <c r="CD23" i="44"/>
  <c r="CF23" i="44"/>
  <c r="CG23" i="44"/>
  <c r="CH23" i="44"/>
  <c r="CI23" i="44"/>
  <c r="CJ23" i="44"/>
  <c r="CK23" i="44"/>
  <c r="CL23" i="44"/>
  <c r="CM23" i="44"/>
  <c r="CN23" i="44"/>
  <c r="CO23" i="44"/>
  <c r="CQ23" i="44"/>
  <c r="CW23" i="44"/>
  <c r="CX23" i="44"/>
  <c r="CY23" i="44"/>
  <c r="CZ23" i="44"/>
  <c r="DB23" i="44"/>
  <c r="DC23" i="44"/>
  <c r="DD23" i="44"/>
  <c r="DF23" i="44"/>
  <c r="DG23" i="44"/>
  <c r="DH23" i="44"/>
  <c r="DI23" i="44"/>
  <c r="DJ23" i="44"/>
  <c r="DK23" i="44"/>
  <c r="DL23" i="44"/>
  <c r="DM23" i="44"/>
  <c r="DN23" i="44"/>
  <c r="DO23" i="44"/>
  <c r="DP23" i="44"/>
  <c r="DQ23" i="44"/>
  <c r="DR23" i="44"/>
  <c r="DS23" i="44"/>
  <c r="DT23" i="44"/>
  <c r="DU23" i="44"/>
  <c r="DV23" i="44"/>
  <c r="DW23" i="44"/>
  <c r="DX23" i="44"/>
  <c r="DY23" i="44"/>
  <c r="DZ23" i="44"/>
  <c r="EA23" i="44"/>
  <c r="EB23" i="44"/>
  <c r="EC23" i="44"/>
  <c r="ED23" i="44"/>
  <c r="EE23" i="44"/>
  <c r="EF23" i="44"/>
  <c r="EG23" i="44"/>
  <c r="EH23" i="44"/>
  <c r="EK23" i="44"/>
  <c r="EL23" i="44"/>
  <c r="EM23" i="44"/>
  <c r="EN23" i="44"/>
  <c r="EQ23" i="44"/>
  <c r="ER23" i="44"/>
  <c r="ES23" i="44"/>
  <c r="ET23" i="44"/>
  <c r="EU23" i="44"/>
  <c r="EV23" i="44"/>
  <c r="EW23" i="44"/>
  <c r="EX23" i="44"/>
  <c r="EZ23" i="44"/>
  <c r="FF23" i="44"/>
  <c r="FG23" i="44"/>
  <c r="FH23" i="44"/>
  <c r="AI24" i="44"/>
  <c r="AJ24" i="44"/>
  <c r="AK24" i="44"/>
  <c r="AM24" i="44"/>
  <c r="AN24" i="44"/>
  <c r="AP24" i="44"/>
  <c r="AQ24" i="44"/>
  <c r="AR24" i="44"/>
  <c r="AS24" i="44"/>
  <c r="AT24" i="44"/>
  <c r="AU24" i="44"/>
  <c r="AW24" i="44"/>
  <c r="AX24" i="44"/>
  <c r="AY24" i="44"/>
  <c r="AZ24" i="44"/>
  <c r="BA24" i="44"/>
  <c r="BB24" i="44"/>
  <c r="BC24" i="44"/>
  <c r="BI24" i="44"/>
  <c r="BJ24" i="44"/>
  <c r="BK24" i="44"/>
  <c r="BL24" i="44"/>
  <c r="BM24" i="44"/>
  <c r="BN24" i="44"/>
  <c r="BO24" i="44"/>
  <c r="BP24" i="44"/>
  <c r="BQ24" i="44"/>
  <c r="BR24" i="44"/>
  <c r="BS24" i="44"/>
  <c r="BT24" i="44"/>
  <c r="BU24" i="44"/>
  <c r="BV24" i="44"/>
  <c r="BW24" i="44"/>
  <c r="BX24" i="44"/>
  <c r="BY24" i="44"/>
  <c r="BZ24" i="44"/>
  <c r="CA24" i="44"/>
  <c r="CB24" i="44"/>
  <c r="CC24" i="44"/>
  <c r="CD24" i="44"/>
  <c r="CF24" i="44"/>
  <c r="CG24" i="44"/>
  <c r="CH24" i="44"/>
  <c r="CI24" i="44"/>
  <c r="CJ24" i="44"/>
  <c r="CK24" i="44"/>
  <c r="CL24" i="44"/>
  <c r="CM24" i="44"/>
  <c r="CN24" i="44"/>
  <c r="CO24" i="44"/>
  <c r="CQ24" i="44"/>
  <c r="CW24" i="44"/>
  <c r="CX24" i="44"/>
  <c r="CY24" i="44"/>
  <c r="CZ24" i="44"/>
  <c r="DB24" i="44"/>
  <c r="DC24" i="44"/>
  <c r="DD24" i="44"/>
  <c r="DF24" i="44"/>
  <c r="DG24" i="44"/>
  <c r="DH24" i="44"/>
  <c r="DI24" i="44"/>
  <c r="DJ24" i="44"/>
  <c r="DK24" i="44"/>
  <c r="DL24" i="44"/>
  <c r="DM24" i="44"/>
  <c r="DN24" i="44"/>
  <c r="DO24" i="44"/>
  <c r="DP24" i="44"/>
  <c r="DQ24" i="44"/>
  <c r="DR24" i="44"/>
  <c r="DS24" i="44"/>
  <c r="DT24" i="44"/>
  <c r="DU24" i="44"/>
  <c r="DV24" i="44"/>
  <c r="DW24" i="44"/>
  <c r="DX24" i="44"/>
  <c r="DY24" i="44"/>
  <c r="DZ24" i="44"/>
  <c r="EA24" i="44"/>
  <c r="EB24" i="44"/>
  <c r="EC24" i="44"/>
  <c r="ED24" i="44"/>
  <c r="EE24" i="44"/>
  <c r="EF24" i="44"/>
  <c r="EG24" i="44"/>
  <c r="EH24" i="44"/>
  <c r="EK24" i="44"/>
  <c r="EL24" i="44"/>
  <c r="EM24" i="44"/>
  <c r="EN24" i="44"/>
  <c r="EQ24" i="44"/>
  <c r="ER24" i="44"/>
  <c r="ES24" i="44"/>
  <c r="ET24" i="44"/>
  <c r="EU24" i="44"/>
  <c r="EV24" i="44"/>
  <c r="EW24" i="44"/>
  <c r="EX24" i="44"/>
  <c r="EZ24" i="44"/>
  <c r="FF24" i="44"/>
  <c r="FG24" i="44"/>
  <c r="FH24" i="44"/>
  <c r="AJ25" i="44"/>
  <c r="AK25" i="44"/>
  <c r="AM25" i="44"/>
  <c r="AN25" i="44"/>
  <c r="AP25" i="44"/>
  <c r="AQ25" i="44"/>
  <c r="AR25" i="44"/>
  <c r="AS25" i="44"/>
  <c r="AT25" i="44"/>
  <c r="AU25" i="44"/>
  <c r="AW25" i="44"/>
  <c r="AX25" i="44"/>
  <c r="AY25" i="44"/>
  <c r="AZ25" i="44"/>
  <c r="BA25" i="44"/>
  <c r="BB25" i="44"/>
  <c r="BC25" i="44"/>
  <c r="BI25" i="44"/>
  <c r="BJ25" i="44"/>
  <c r="BK25" i="44"/>
  <c r="BL25" i="44"/>
  <c r="BM25" i="44"/>
  <c r="BN25" i="44"/>
  <c r="BO25" i="44"/>
  <c r="BP25" i="44"/>
  <c r="BQ25" i="44"/>
  <c r="BR25" i="44"/>
  <c r="BS25" i="44"/>
  <c r="BT25" i="44"/>
  <c r="BU25" i="44"/>
  <c r="BV25" i="44"/>
  <c r="BW25" i="44"/>
  <c r="BX25" i="44"/>
  <c r="BY25" i="44"/>
  <c r="BZ25" i="44"/>
  <c r="CA25" i="44"/>
  <c r="CB25" i="44"/>
  <c r="CC25" i="44"/>
  <c r="CD25" i="44"/>
  <c r="CF25" i="44"/>
  <c r="CG25" i="44"/>
  <c r="CH25" i="44"/>
  <c r="CI25" i="44"/>
  <c r="CJ25" i="44"/>
  <c r="CK25" i="44"/>
  <c r="CL25" i="44"/>
  <c r="CM25" i="44"/>
  <c r="CN25" i="44"/>
  <c r="CO25" i="44"/>
  <c r="CQ25" i="44"/>
  <c r="CW25" i="44"/>
  <c r="CX25" i="44"/>
  <c r="CY25" i="44"/>
  <c r="CZ25" i="44"/>
  <c r="DB25" i="44"/>
  <c r="DC25" i="44"/>
  <c r="DD25" i="44"/>
  <c r="DF25" i="44"/>
  <c r="DG25" i="44"/>
  <c r="DH25" i="44"/>
  <c r="DI25" i="44"/>
  <c r="DJ25" i="44"/>
  <c r="DK25" i="44"/>
  <c r="DL25" i="44"/>
  <c r="DM25" i="44"/>
  <c r="DN25" i="44"/>
  <c r="DO25" i="44"/>
  <c r="DP25" i="44"/>
  <c r="DQ25" i="44"/>
  <c r="DR25" i="44"/>
  <c r="DS25" i="44"/>
  <c r="DT25" i="44"/>
  <c r="DU25" i="44"/>
  <c r="DV25" i="44"/>
  <c r="DW25" i="44"/>
  <c r="DX25" i="44"/>
  <c r="DY25" i="44"/>
  <c r="DZ25" i="44"/>
  <c r="EA25" i="44"/>
  <c r="EB25" i="44"/>
  <c r="EC25" i="44"/>
  <c r="ED25" i="44"/>
  <c r="EE25" i="44"/>
  <c r="EF25" i="44"/>
  <c r="EG25" i="44"/>
  <c r="EH25" i="44"/>
  <c r="EK25" i="44"/>
  <c r="EL25" i="44"/>
  <c r="EM25" i="44"/>
  <c r="EN25" i="44"/>
  <c r="EQ25" i="44"/>
  <c r="ER25" i="44"/>
  <c r="ES25" i="44"/>
  <c r="ET25" i="44"/>
  <c r="EU25" i="44"/>
  <c r="EV25" i="44"/>
  <c r="EW25" i="44"/>
  <c r="EX25" i="44"/>
  <c r="EZ25" i="44"/>
  <c r="FF25" i="44"/>
  <c r="FG25" i="44"/>
  <c r="FH25" i="44"/>
  <c r="AI26" i="44"/>
  <c r="AJ26" i="44"/>
  <c r="AK26" i="44"/>
  <c r="AM26" i="44"/>
  <c r="AN26" i="44"/>
  <c r="AP26" i="44"/>
  <c r="AQ26" i="44"/>
  <c r="AR26" i="44"/>
  <c r="AS26" i="44"/>
  <c r="AT26" i="44"/>
  <c r="AU26" i="44"/>
  <c r="AW26" i="44"/>
  <c r="AX26" i="44"/>
  <c r="AY26" i="44"/>
  <c r="AZ26" i="44"/>
  <c r="BA26" i="44"/>
  <c r="BB26" i="44"/>
  <c r="BC26" i="44"/>
  <c r="BI26" i="44"/>
  <c r="BJ26" i="44"/>
  <c r="BK26" i="44"/>
  <c r="BL26" i="44"/>
  <c r="BM26" i="44"/>
  <c r="BN26" i="44"/>
  <c r="BO26" i="44"/>
  <c r="BP26" i="44"/>
  <c r="BQ26" i="44"/>
  <c r="BR26" i="44"/>
  <c r="BS26" i="44"/>
  <c r="BT26" i="44"/>
  <c r="BU26" i="44"/>
  <c r="BV26" i="44"/>
  <c r="BW26" i="44"/>
  <c r="BX26" i="44"/>
  <c r="BY26" i="44"/>
  <c r="BZ26" i="44"/>
  <c r="CA26" i="44"/>
  <c r="CB26" i="44"/>
  <c r="CC26" i="44"/>
  <c r="CD26" i="44"/>
  <c r="CF26" i="44"/>
  <c r="CG26" i="44"/>
  <c r="CH26" i="44"/>
  <c r="CI26" i="44"/>
  <c r="CJ26" i="44"/>
  <c r="CK26" i="44"/>
  <c r="CL26" i="44"/>
  <c r="CM26" i="44"/>
  <c r="CN26" i="44"/>
  <c r="CO26" i="44"/>
  <c r="CQ26" i="44"/>
  <c r="CW26" i="44"/>
  <c r="CX26" i="44"/>
  <c r="CY26" i="44"/>
  <c r="CZ26" i="44"/>
  <c r="DB26" i="44"/>
  <c r="DC26" i="44"/>
  <c r="DD26" i="44"/>
  <c r="DF26" i="44"/>
  <c r="DG26" i="44"/>
  <c r="DH26" i="44"/>
  <c r="DI26" i="44"/>
  <c r="DJ26" i="44"/>
  <c r="DK26" i="44"/>
  <c r="DL26" i="44"/>
  <c r="DM26" i="44"/>
  <c r="DN26" i="44"/>
  <c r="DO26" i="44"/>
  <c r="DP26" i="44"/>
  <c r="DQ26" i="44"/>
  <c r="DR26" i="44"/>
  <c r="DS26" i="44"/>
  <c r="DT26" i="44"/>
  <c r="DU26" i="44"/>
  <c r="DV26" i="44"/>
  <c r="DW26" i="44"/>
  <c r="DX26" i="44"/>
  <c r="DY26" i="44"/>
  <c r="DZ26" i="44"/>
  <c r="EA26" i="44"/>
  <c r="EB26" i="44"/>
  <c r="EC26" i="44"/>
  <c r="ED26" i="44"/>
  <c r="EE26" i="44"/>
  <c r="EF26" i="44"/>
  <c r="EG26" i="44"/>
  <c r="EH26" i="44"/>
  <c r="EK26" i="44"/>
  <c r="EL26" i="44"/>
  <c r="EM26" i="44"/>
  <c r="EN26" i="44"/>
  <c r="EQ26" i="44"/>
  <c r="ER26" i="44"/>
  <c r="ES26" i="44"/>
  <c r="ET26" i="44"/>
  <c r="EU26" i="44"/>
  <c r="EV26" i="44"/>
  <c r="EW26" i="44"/>
  <c r="EX26" i="44"/>
  <c r="EZ26" i="44"/>
  <c r="FF26" i="44"/>
  <c r="FG26" i="44"/>
  <c r="FH26" i="44"/>
  <c r="AI27" i="44"/>
  <c r="AJ27" i="44"/>
  <c r="AK27" i="44"/>
  <c r="AM27" i="44"/>
  <c r="AN27" i="44"/>
  <c r="AP27" i="44"/>
  <c r="AQ27" i="44"/>
  <c r="AR27" i="44"/>
  <c r="AS27" i="44"/>
  <c r="AT27" i="44"/>
  <c r="AU27" i="44"/>
  <c r="AW27" i="44"/>
  <c r="AX27" i="44"/>
  <c r="AY27" i="44"/>
  <c r="AZ27" i="44"/>
  <c r="BA27" i="44"/>
  <c r="BB27" i="44"/>
  <c r="BC27" i="44"/>
  <c r="BI27" i="44"/>
  <c r="BJ27" i="44"/>
  <c r="BK27" i="44"/>
  <c r="BL27" i="44"/>
  <c r="BM27" i="44"/>
  <c r="BN27" i="44"/>
  <c r="BO27" i="44"/>
  <c r="BP27" i="44"/>
  <c r="BQ27" i="44"/>
  <c r="BR27" i="44"/>
  <c r="BS27" i="44"/>
  <c r="BT27" i="44"/>
  <c r="BU27" i="44"/>
  <c r="BV27" i="44"/>
  <c r="BW27" i="44"/>
  <c r="BX27" i="44"/>
  <c r="BY27" i="44"/>
  <c r="BZ27" i="44"/>
  <c r="CA27" i="44"/>
  <c r="CB27" i="44"/>
  <c r="CC27" i="44"/>
  <c r="CD27" i="44"/>
  <c r="CF27" i="44"/>
  <c r="CG27" i="44"/>
  <c r="CH27" i="44"/>
  <c r="CI27" i="44"/>
  <c r="CJ27" i="44"/>
  <c r="CK27" i="44"/>
  <c r="CL27" i="44"/>
  <c r="CM27" i="44"/>
  <c r="CN27" i="44"/>
  <c r="CO27" i="44"/>
  <c r="CQ27" i="44"/>
  <c r="CW27" i="44"/>
  <c r="CX27" i="44"/>
  <c r="CY27" i="44"/>
  <c r="CZ27" i="44"/>
  <c r="DB27" i="44"/>
  <c r="DC27" i="44"/>
  <c r="DD27" i="44"/>
  <c r="DF27" i="44"/>
  <c r="DG27" i="44"/>
  <c r="DH27" i="44"/>
  <c r="DI27" i="44"/>
  <c r="DJ27" i="44"/>
  <c r="DK27" i="44"/>
  <c r="DL27" i="44"/>
  <c r="DM27" i="44"/>
  <c r="DN27" i="44"/>
  <c r="DO27" i="44"/>
  <c r="DP27" i="44"/>
  <c r="DQ27" i="44"/>
  <c r="DR27" i="44"/>
  <c r="DS27" i="44"/>
  <c r="DT27" i="44"/>
  <c r="DU27" i="44"/>
  <c r="DV27" i="44"/>
  <c r="DW27" i="44"/>
  <c r="DX27" i="44"/>
  <c r="DY27" i="44"/>
  <c r="DZ27" i="44"/>
  <c r="EA27" i="44"/>
  <c r="EB27" i="44"/>
  <c r="EC27" i="44"/>
  <c r="ED27" i="44"/>
  <c r="EE27" i="44"/>
  <c r="EF27" i="44"/>
  <c r="EG27" i="44"/>
  <c r="EH27" i="44"/>
  <c r="EK27" i="44"/>
  <c r="EL27" i="44"/>
  <c r="EM27" i="44"/>
  <c r="EN27" i="44"/>
  <c r="EQ27" i="44"/>
  <c r="ER27" i="44"/>
  <c r="ES27" i="44"/>
  <c r="ET27" i="44"/>
  <c r="EU27" i="44"/>
  <c r="EV27" i="44"/>
  <c r="EW27" i="44"/>
  <c r="EX27" i="44"/>
  <c r="EZ27" i="44"/>
  <c r="FF27" i="44"/>
  <c r="FG27" i="44"/>
  <c r="FH27" i="44"/>
  <c r="AI28" i="44"/>
  <c r="AJ28" i="44"/>
  <c r="AK28" i="44"/>
  <c r="AM28" i="44"/>
  <c r="AN28" i="44"/>
  <c r="AP28" i="44"/>
  <c r="AQ28" i="44"/>
  <c r="AR28" i="44"/>
  <c r="AS28" i="44"/>
  <c r="AT28" i="44"/>
  <c r="AU28" i="44"/>
  <c r="AW28" i="44"/>
  <c r="AX28" i="44"/>
  <c r="AY28" i="44"/>
  <c r="AZ28" i="44"/>
  <c r="BA28" i="44"/>
  <c r="BB28" i="44"/>
  <c r="BC28" i="44"/>
  <c r="BI28" i="44"/>
  <c r="BJ28" i="44"/>
  <c r="BK28" i="44"/>
  <c r="BL28" i="44"/>
  <c r="BM28" i="44"/>
  <c r="BN28" i="44"/>
  <c r="BO28" i="44"/>
  <c r="BP28" i="44"/>
  <c r="BQ28" i="44"/>
  <c r="BR28" i="44"/>
  <c r="BS28" i="44"/>
  <c r="BT28" i="44"/>
  <c r="BU28" i="44"/>
  <c r="BV28" i="44"/>
  <c r="BW28" i="44"/>
  <c r="BX28" i="44"/>
  <c r="BY28" i="44"/>
  <c r="BZ28" i="44"/>
  <c r="CA28" i="44"/>
  <c r="CB28" i="44"/>
  <c r="CC28" i="44"/>
  <c r="CD28" i="44"/>
  <c r="CF28" i="44"/>
  <c r="CG28" i="44"/>
  <c r="CH28" i="44"/>
  <c r="CI28" i="44"/>
  <c r="CJ28" i="44"/>
  <c r="CK28" i="44"/>
  <c r="CL28" i="44"/>
  <c r="CM28" i="44"/>
  <c r="CN28" i="44"/>
  <c r="CO28" i="44"/>
  <c r="CQ28" i="44"/>
  <c r="CW28" i="44"/>
  <c r="CX28" i="44"/>
  <c r="CY28" i="44"/>
  <c r="CZ28" i="44"/>
  <c r="DB28" i="44"/>
  <c r="DC28" i="44"/>
  <c r="DD28" i="44"/>
  <c r="DF28" i="44"/>
  <c r="DG28" i="44"/>
  <c r="DH28" i="44"/>
  <c r="DI28" i="44"/>
  <c r="DJ28" i="44"/>
  <c r="DK28" i="44"/>
  <c r="DL28" i="44"/>
  <c r="DM28" i="44"/>
  <c r="DN28" i="44"/>
  <c r="DO28" i="44"/>
  <c r="DP28" i="44"/>
  <c r="DQ28" i="44"/>
  <c r="DR28" i="44"/>
  <c r="DS28" i="44"/>
  <c r="DT28" i="44"/>
  <c r="DU28" i="44"/>
  <c r="DV28" i="44"/>
  <c r="DW28" i="44"/>
  <c r="DX28" i="44"/>
  <c r="DY28" i="44"/>
  <c r="DZ28" i="44"/>
  <c r="EA28" i="44"/>
  <c r="EB28" i="44"/>
  <c r="EC28" i="44"/>
  <c r="ED28" i="44"/>
  <c r="EE28" i="44"/>
  <c r="EF28" i="44"/>
  <c r="EG28" i="44"/>
  <c r="EH28" i="44"/>
  <c r="EK28" i="44"/>
  <c r="EL28" i="44"/>
  <c r="EM28" i="44"/>
  <c r="EN28" i="44"/>
  <c r="EQ28" i="44"/>
  <c r="ER28" i="44"/>
  <c r="ES28" i="44"/>
  <c r="ET28" i="44"/>
  <c r="EU28" i="44"/>
  <c r="EV28" i="44"/>
  <c r="EW28" i="44"/>
  <c r="EX28" i="44"/>
  <c r="EZ28" i="44"/>
  <c r="FF28" i="44"/>
  <c r="FG28" i="44"/>
  <c r="FH28" i="44"/>
  <c r="AI29" i="44"/>
  <c r="AJ29" i="44"/>
  <c r="AK29" i="44"/>
  <c r="AM29" i="44"/>
  <c r="AN29" i="44"/>
  <c r="AP29" i="44"/>
  <c r="AQ29" i="44"/>
  <c r="AR29" i="44"/>
  <c r="AS29" i="44"/>
  <c r="AT29" i="44"/>
  <c r="AU29" i="44"/>
  <c r="AW29" i="44"/>
  <c r="AX29" i="44"/>
  <c r="AY29" i="44"/>
  <c r="AZ29" i="44"/>
  <c r="BA29" i="44"/>
  <c r="BB29" i="44"/>
  <c r="BC29" i="44"/>
  <c r="BI29" i="44"/>
  <c r="BJ29" i="44"/>
  <c r="BK29" i="44"/>
  <c r="BL29" i="44"/>
  <c r="BM29" i="44"/>
  <c r="BN29" i="44"/>
  <c r="BO29" i="44"/>
  <c r="BP29" i="44"/>
  <c r="BQ29" i="44"/>
  <c r="BR29" i="44"/>
  <c r="BS29" i="44"/>
  <c r="BT29" i="44"/>
  <c r="BU29" i="44"/>
  <c r="BV29" i="44"/>
  <c r="BW29" i="44"/>
  <c r="BX29" i="44"/>
  <c r="BY29" i="44"/>
  <c r="BZ29" i="44"/>
  <c r="CA29" i="44"/>
  <c r="CB29" i="44"/>
  <c r="CC29" i="44"/>
  <c r="CD29" i="44"/>
  <c r="CF29" i="44"/>
  <c r="CG29" i="44"/>
  <c r="CH29" i="44"/>
  <c r="CI29" i="44"/>
  <c r="CJ29" i="44"/>
  <c r="CK29" i="44"/>
  <c r="CL29" i="44"/>
  <c r="CM29" i="44"/>
  <c r="CN29" i="44"/>
  <c r="CO29" i="44"/>
  <c r="CQ29" i="44"/>
  <c r="CW29" i="44"/>
  <c r="CX29" i="44"/>
  <c r="CY29" i="44"/>
  <c r="CZ29" i="44"/>
  <c r="DB29" i="44"/>
  <c r="DC29" i="44"/>
  <c r="DD29" i="44"/>
  <c r="DF29" i="44"/>
  <c r="DG29" i="44"/>
  <c r="DH29" i="44"/>
  <c r="DI29" i="44"/>
  <c r="DJ29" i="44"/>
  <c r="DK29" i="44"/>
  <c r="DL29" i="44"/>
  <c r="DM29" i="44"/>
  <c r="DN29" i="44"/>
  <c r="DO29" i="44"/>
  <c r="DP29" i="44"/>
  <c r="DQ29" i="44"/>
  <c r="DR29" i="44"/>
  <c r="DS29" i="44"/>
  <c r="DT29" i="44"/>
  <c r="DU29" i="44"/>
  <c r="DV29" i="44"/>
  <c r="DW29" i="44"/>
  <c r="DX29" i="44"/>
  <c r="DY29" i="44"/>
  <c r="DZ29" i="44"/>
  <c r="EA29" i="44"/>
  <c r="EB29" i="44"/>
  <c r="EC29" i="44"/>
  <c r="ED29" i="44"/>
  <c r="EE29" i="44"/>
  <c r="EF29" i="44"/>
  <c r="EG29" i="44"/>
  <c r="EH29" i="44"/>
  <c r="EK29" i="44"/>
  <c r="EL29" i="44"/>
  <c r="EM29" i="44"/>
  <c r="EN29" i="44"/>
  <c r="EQ29" i="44"/>
  <c r="ER29" i="44"/>
  <c r="ES29" i="44"/>
  <c r="ET29" i="44"/>
  <c r="EU29" i="44"/>
  <c r="EV29" i="44"/>
  <c r="EW29" i="44"/>
  <c r="EX29" i="44"/>
  <c r="EZ29" i="44"/>
  <c r="FF29" i="44"/>
  <c r="FG29" i="44"/>
  <c r="FH29" i="44"/>
  <c r="AI30" i="44"/>
  <c r="AJ30" i="44"/>
  <c r="AK30" i="44"/>
  <c r="AM30" i="44"/>
  <c r="AN30" i="44"/>
  <c r="AP30" i="44"/>
  <c r="AQ30" i="44"/>
  <c r="AR30" i="44"/>
  <c r="AS30" i="44"/>
  <c r="AT30" i="44"/>
  <c r="AU30" i="44"/>
  <c r="AW30" i="44"/>
  <c r="AX30" i="44"/>
  <c r="AY30" i="44"/>
  <c r="AZ30" i="44"/>
  <c r="BA30" i="44"/>
  <c r="BB30" i="44"/>
  <c r="BC30" i="44"/>
  <c r="BI30" i="44"/>
  <c r="BJ30" i="44"/>
  <c r="BK30" i="44"/>
  <c r="BL30" i="44"/>
  <c r="BM30" i="44"/>
  <c r="BN30" i="44"/>
  <c r="BO30" i="44"/>
  <c r="BP30" i="44"/>
  <c r="BQ30" i="44"/>
  <c r="BR30" i="44"/>
  <c r="BS30" i="44"/>
  <c r="BT30" i="44"/>
  <c r="BU30" i="44"/>
  <c r="BV30" i="44"/>
  <c r="BW30" i="44"/>
  <c r="BX30" i="44"/>
  <c r="BY30" i="44"/>
  <c r="BZ30" i="44"/>
  <c r="CA30" i="44"/>
  <c r="CB30" i="44"/>
  <c r="CC30" i="44"/>
  <c r="CD30" i="44"/>
  <c r="CF30" i="44"/>
  <c r="CG30" i="44"/>
  <c r="CH30" i="44"/>
  <c r="CI30" i="44"/>
  <c r="CJ30" i="44"/>
  <c r="CK30" i="44"/>
  <c r="CL30" i="44"/>
  <c r="CM30" i="44"/>
  <c r="CN30" i="44"/>
  <c r="CO30" i="44"/>
  <c r="CQ30" i="44"/>
  <c r="CW30" i="44"/>
  <c r="CX30" i="44"/>
  <c r="CY30" i="44"/>
  <c r="CZ30" i="44"/>
  <c r="DB30" i="44"/>
  <c r="DC30" i="44"/>
  <c r="DD30" i="44"/>
  <c r="DF30" i="44"/>
  <c r="DG30" i="44"/>
  <c r="DH30" i="44"/>
  <c r="DI30" i="44"/>
  <c r="DJ30" i="44"/>
  <c r="DK30" i="44"/>
  <c r="DL30" i="44"/>
  <c r="DM30" i="44"/>
  <c r="DN30" i="44"/>
  <c r="DO30" i="44"/>
  <c r="DP30" i="44"/>
  <c r="DQ30" i="44"/>
  <c r="DR30" i="44"/>
  <c r="DS30" i="44"/>
  <c r="DT30" i="44"/>
  <c r="DU30" i="44"/>
  <c r="DV30" i="44"/>
  <c r="DW30" i="44"/>
  <c r="DX30" i="44"/>
  <c r="DY30" i="44"/>
  <c r="DZ30" i="44"/>
  <c r="EA30" i="44"/>
  <c r="EB30" i="44"/>
  <c r="EC30" i="44"/>
  <c r="ED30" i="44"/>
  <c r="EE30" i="44"/>
  <c r="EF30" i="44"/>
  <c r="EG30" i="44"/>
  <c r="EH30" i="44"/>
  <c r="EK30" i="44"/>
  <c r="EL30" i="44"/>
  <c r="EM30" i="44"/>
  <c r="EN30" i="44"/>
  <c r="EQ30" i="44"/>
  <c r="ER30" i="44"/>
  <c r="ES30" i="44"/>
  <c r="ET30" i="44"/>
  <c r="EU30" i="44"/>
  <c r="EV30" i="44"/>
  <c r="EW30" i="44"/>
  <c r="EX30" i="44"/>
  <c r="EZ30" i="44"/>
  <c r="FF30" i="44"/>
  <c r="FG30" i="44"/>
  <c r="FH30" i="44"/>
  <c r="AI31" i="44"/>
  <c r="AJ31" i="44"/>
  <c r="AK31" i="44"/>
  <c r="AM31" i="44"/>
  <c r="AN31" i="44"/>
  <c r="AP31" i="44"/>
  <c r="AQ31" i="44"/>
  <c r="AR31" i="44"/>
  <c r="AS31" i="44"/>
  <c r="AT31" i="44"/>
  <c r="AU31" i="44"/>
  <c r="AW31" i="44"/>
  <c r="AX31" i="44"/>
  <c r="AY31" i="44"/>
  <c r="AZ31" i="44"/>
  <c r="BA31" i="44"/>
  <c r="BB31" i="44"/>
  <c r="BC31" i="44"/>
  <c r="BI31" i="44"/>
  <c r="BJ31" i="44"/>
  <c r="BK31" i="44"/>
  <c r="BL31" i="44"/>
  <c r="BM31" i="44"/>
  <c r="BN31" i="44"/>
  <c r="BO31" i="44"/>
  <c r="BP31" i="44"/>
  <c r="BQ31" i="44"/>
  <c r="BR31" i="44"/>
  <c r="BS31" i="44"/>
  <c r="BT31" i="44"/>
  <c r="BU31" i="44"/>
  <c r="BV31" i="44"/>
  <c r="BW31" i="44"/>
  <c r="BX31" i="44"/>
  <c r="BY31" i="44"/>
  <c r="BZ31" i="44"/>
  <c r="CA31" i="44"/>
  <c r="CB31" i="44"/>
  <c r="CC31" i="44"/>
  <c r="CD31" i="44"/>
  <c r="CF31" i="44"/>
  <c r="CG31" i="44"/>
  <c r="CH31" i="44"/>
  <c r="CI31" i="44"/>
  <c r="CJ31" i="44"/>
  <c r="CK31" i="44"/>
  <c r="CL31" i="44"/>
  <c r="CM31" i="44"/>
  <c r="CN31" i="44"/>
  <c r="CO31" i="44"/>
  <c r="CQ31" i="44"/>
  <c r="CW31" i="44"/>
  <c r="CX31" i="44"/>
  <c r="CY31" i="44"/>
  <c r="CZ31" i="44"/>
  <c r="DB31" i="44"/>
  <c r="DC31" i="44"/>
  <c r="DD31" i="44"/>
  <c r="DF31" i="44"/>
  <c r="DG31" i="44"/>
  <c r="DH31" i="44"/>
  <c r="DI31" i="44"/>
  <c r="DJ31" i="44"/>
  <c r="DK31" i="44"/>
  <c r="DL31" i="44"/>
  <c r="DM31" i="44"/>
  <c r="DN31" i="44"/>
  <c r="DO31" i="44"/>
  <c r="DP31" i="44"/>
  <c r="DQ31" i="44"/>
  <c r="DR31" i="44"/>
  <c r="DS31" i="44"/>
  <c r="DT31" i="44"/>
  <c r="DU31" i="44"/>
  <c r="DV31" i="44"/>
  <c r="DW31" i="44"/>
  <c r="DX31" i="44"/>
  <c r="DY31" i="44"/>
  <c r="DZ31" i="44"/>
  <c r="EA31" i="44"/>
  <c r="EB31" i="44"/>
  <c r="EC31" i="44"/>
  <c r="ED31" i="44"/>
  <c r="EE31" i="44"/>
  <c r="EF31" i="44"/>
  <c r="EG31" i="44"/>
  <c r="EH31" i="44"/>
  <c r="EK31" i="44"/>
  <c r="EL31" i="44"/>
  <c r="EM31" i="44"/>
  <c r="EN31" i="44"/>
  <c r="EQ31" i="44"/>
  <c r="ER31" i="44"/>
  <c r="ES31" i="44"/>
  <c r="ET31" i="44"/>
  <c r="EU31" i="44"/>
  <c r="EV31" i="44"/>
  <c r="EW31" i="44"/>
  <c r="EX31" i="44"/>
  <c r="EZ31" i="44"/>
  <c r="FF31" i="44"/>
  <c r="FG31" i="44"/>
  <c r="FH31" i="44"/>
  <c r="AI32" i="44"/>
  <c r="AJ32" i="44"/>
  <c r="AK32" i="44"/>
  <c r="AM32" i="44"/>
  <c r="AN32" i="44"/>
  <c r="AP32" i="44"/>
  <c r="AQ32" i="44"/>
  <c r="AR32" i="44"/>
  <c r="AS32" i="44"/>
  <c r="AT32" i="44"/>
  <c r="AU32" i="44"/>
  <c r="AW32" i="44"/>
  <c r="AX32" i="44"/>
  <c r="AY32" i="44"/>
  <c r="AZ32" i="44"/>
  <c r="BA32" i="44"/>
  <c r="BB32" i="44"/>
  <c r="BC32" i="44"/>
  <c r="BI32" i="44"/>
  <c r="BJ32" i="44"/>
  <c r="BK32" i="44"/>
  <c r="BL32" i="44"/>
  <c r="BM32" i="44"/>
  <c r="BN32" i="44"/>
  <c r="BO32" i="44"/>
  <c r="BP32" i="44"/>
  <c r="BQ32" i="44"/>
  <c r="BR32" i="44"/>
  <c r="BS32" i="44"/>
  <c r="BT32" i="44"/>
  <c r="BU32" i="44"/>
  <c r="BV32" i="44"/>
  <c r="BW32" i="44"/>
  <c r="BX32" i="44"/>
  <c r="BY32" i="44"/>
  <c r="BZ32" i="44"/>
  <c r="CA32" i="44"/>
  <c r="CB32" i="44"/>
  <c r="CC32" i="44"/>
  <c r="CD32" i="44"/>
  <c r="CF32" i="44"/>
  <c r="CG32" i="44"/>
  <c r="CH32" i="44"/>
  <c r="CI32" i="44"/>
  <c r="CJ32" i="44"/>
  <c r="CK32" i="44"/>
  <c r="CL32" i="44"/>
  <c r="CM32" i="44"/>
  <c r="CN32" i="44"/>
  <c r="CO32" i="44"/>
  <c r="CQ32" i="44"/>
  <c r="CW32" i="44"/>
  <c r="CX32" i="44"/>
  <c r="CY32" i="44"/>
  <c r="CZ32" i="44"/>
  <c r="DB32" i="44"/>
  <c r="DC32" i="44"/>
  <c r="DD32" i="44"/>
  <c r="DF32" i="44"/>
  <c r="DG32" i="44"/>
  <c r="DH32" i="44"/>
  <c r="DI32" i="44"/>
  <c r="DJ32" i="44"/>
  <c r="DK32" i="44"/>
  <c r="DL32" i="44"/>
  <c r="DM32" i="44"/>
  <c r="DN32" i="44"/>
  <c r="DO32" i="44"/>
  <c r="DP32" i="44"/>
  <c r="DQ32" i="44"/>
  <c r="DR32" i="44"/>
  <c r="DS32" i="44"/>
  <c r="DT32" i="44"/>
  <c r="DU32" i="44"/>
  <c r="DV32" i="44"/>
  <c r="DW32" i="44"/>
  <c r="DX32" i="44"/>
  <c r="DY32" i="44"/>
  <c r="DZ32" i="44"/>
  <c r="EA32" i="44"/>
  <c r="EB32" i="44"/>
  <c r="EC32" i="44"/>
  <c r="ED32" i="44"/>
  <c r="EE32" i="44"/>
  <c r="EF32" i="44"/>
  <c r="EG32" i="44"/>
  <c r="EH32" i="44"/>
  <c r="EK32" i="44"/>
  <c r="EL32" i="44"/>
  <c r="EM32" i="44"/>
  <c r="EN32" i="44"/>
  <c r="EQ32" i="44"/>
  <c r="ER32" i="44"/>
  <c r="ES32" i="44"/>
  <c r="ET32" i="44"/>
  <c r="EU32" i="44"/>
  <c r="EV32" i="44"/>
  <c r="EW32" i="44"/>
  <c r="EX32" i="44"/>
  <c r="EZ32" i="44"/>
  <c r="FF32" i="44"/>
  <c r="FG32" i="44"/>
  <c r="FH32" i="44"/>
  <c r="AI33" i="44"/>
  <c r="AJ33" i="44"/>
  <c r="AK33" i="44"/>
  <c r="AM33" i="44"/>
  <c r="AN33" i="44"/>
  <c r="AP33" i="44"/>
  <c r="AQ33" i="44"/>
  <c r="AR33" i="44"/>
  <c r="AS33" i="44"/>
  <c r="AT33" i="44"/>
  <c r="AU33" i="44"/>
  <c r="AW33" i="44"/>
  <c r="AX33" i="44"/>
  <c r="AY33" i="44"/>
  <c r="AZ33" i="44"/>
  <c r="BA33" i="44"/>
  <c r="BB33" i="44"/>
  <c r="BC33" i="44"/>
  <c r="BI33" i="44"/>
  <c r="BJ33" i="44"/>
  <c r="BK33" i="44"/>
  <c r="BL33" i="44"/>
  <c r="BM33" i="44"/>
  <c r="BN33" i="44"/>
  <c r="BO33" i="44"/>
  <c r="BP33" i="44"/>
  <c r="BQ33" i="44"/>
  <c r="BR33" i="44"/>
  <c r="BS33" i="44"/>
  <c r="BT33" i="44"/>
  <c r="BU33" i="44"/>
  <c r="BV33" i="44"/>
  <c r="BW33" i="44"/>
  <c r="BX33" i="44"/>
  <c r="BY33" i="44"/>
  <c r="BZ33" i="44"/>
  <c r="CA33" i="44"/>
  <c r="CB33" i="44"/>
  <c r="CC33" i="44"/>
  <c r="CD33" i="44"/>
  <c r="CF33" i="44"/>
  <c r="CG33" i="44"/>
  <c r="CH33" i="44"/>
  <c r="CI33" i="44"/>
  <c r="CJ33" i="44"/>
  <c r="CK33" i="44"/>
  <c r="CL33" i="44"/>
  <c r="CM33" i="44"/>
  <c r="CN33" i="44"/>
  <c r="CO33" i="44"/>
  <c r="CQ33" i="44"/>
  <c r="CW33" i="44"/>
  <c r="CX33" i="44"/>
  <c r="CY33" i="44"/>
  <c r="CZ33" i="44"/>
  <c r="DB33" i="44"/>
  <c r="DC33" i="44"/>
  <c r="DD33" i="44"/>
  <c r="DF33" i="44"/>
  <c r="DG33" i="44"/>
  <c r="DH33" i="44"/>
  <c r="DI33" i="44"/>
  <c r="DJ33" i="44"/>
  <c r="DK33" i="44"/>
  <c r="DL33" i="44"/>
  <c r="DM33" i="44"/>
  <c r="DN33" i="44"/>
  <c r="DO33" i="44"/>
  <c r="DP33" i="44"/>
  <c r="DQ33" i="44"/>
  <c r="DR33" i="44"/>
  <c r="DS33" i="44"/>
  <c r="DT33" i="44"/>
  <c r="DU33" i="44"/>
  <c r="DV33" i="44"/>
  <c r="DW33" i="44"/>
  <c r="DX33" i="44"/>
  <c r="DY33" i="44"/>
  <c r="DZ33" i="44"/>
  <c r="EA33" i="44"/>
  <c r="EB33" i="44"/>
  <c r="EC33" i="44"/>
  <c r="ED33" i="44"/>
  <c r="EE33" i="44"/>
  <c r="EF33" i="44"/>
  <c r="EG33" i="44"/>
  <c r="EH33" i="44"/>
  <c r="EK33" i="44"/>
  <c r="EL33" i="44"/>
  <c r="EM33" i="44"/>
  <c r="EN33" i="44"/>
  <c r="EQ33" i="44"/>
  <c r="ER33" i="44"/>
  <c r="ES33" i="44"/>
  <c r="ET33" i="44"/>
  <c r="EU33" i="44"/>
  <c r="EV33" i="44"/>
  <c r="EW33" i="44"/>
  <c r="EX33" i="44"/>
  <c r="EZ33" i="44"/>
  <c r="FF33" i="44"/>
  <c r="FG33" i="44"/>
  <c r="FH33" i="44"/>
  <c r="AI34" i="44"/>
  <c r="AJ34" i="44"/>
  <c r="AK34" i="44"/>
  <c r="AM34" i="44"/>
  <c r="AN34" i="44"/>
  <c r="AP34" i="44"/>
  <c r="AQ34" i="44"/>
  <c r="AR34" i="44"/>
  <c r="AS34" i="44"/>
  <c r="AT34" i="44"/>
  <c r="AU34" i="44"/>
  <c r="AW34" i="44"/>
  <c r="AX34" i="44"/>
  <c r="AY34" i="44"/>
  <c r="AZ34" i="44"/>
  <c r="BA34" i="44"/>
  <c r="BB34" i="44"/>
  <c r="BC34" i="44"/>
  <c r="BI34" i="44"/>
  <c r="BJ34" i="44"/>
  <c r="BK34" i="44"/>
  <c r="BL34" i="44"/>
  <c r="BM34" i="44"/>
  <c r="BN34" i="44"/>
  <c r="BO34" i="44"/>
  <c r="BP34" i="44"/>
  <c r="BQ34" i="44"/>
  <c r="BR34" i="44"/>
  <c r="BS34" i="44"/>
  <c r="BT34" i="44"/>
  <c r="BU34" i="44"/>
  <c r="BV34" i="44"/>
  <c r="BW34" i="44"/>
  <c r="BX34" i="44"/>
  <c r="BY34" i="44"/>
  <c r="BZ34" i="44"/>
  <c r="CA34" i="44"/>
  <c r="CB34" i="44"/>
  <c r="CC34" i="44"/>
  <c r="CD34" i="44"/>
  <c r="CF34" i="44"/>
  <c r="CG34" i="44"/>
  <c r="CH34" i="44"/>
  <c r="CI34" i="44"/>
  <c r="CJ34" i="44"/>
  <c r="CK34" i="44"/>
  <c r="CL34" i="44"/>
  <c r="CM34" i="44"/>
  <c r="CN34" i="44"/>
  <c r="CO34" i="44"/>
  <c r="CQ34" i="44"/>
  <c r="CW34" i="44"/>
  <c r="CX34" i="44"/>
  <c r="CY34" i="44"/>
  <c r="CZ34" i="44"/>
  <c r="DB34" i="44"/>
  <c r="DC34" i="44"/>
  <c r="DD34" i="44"/>
  <c r="DF34" i="44"/>
  <c r="DG34" i="44"/>
  <c r="DH34" i="44"/>
  <c r="DI34" i="44"/>
  <c r="DJ34" i="44"/>
  <c r="DK34" i="44"/>
  <c r="DL34" i="44"/>
  <c r="DM34" i="44"/>
  <c r="DN34" i="44"/>
  <c r="DO34" i="44"/>
  <c r="DP34" i="44"/>
  <c r="DQ34" i="44"/>
  <c r="DR34" i="44"/>
  <c r="DS34" i="44"/>
  <c r="DT34" i="44"/>
  <c r="DU34" i="44"/>
  <c r="DV34" i="44"/>
  <c r="DW34" i="44"/>
  <c r="DX34" i="44"/>
  <c r="DY34" i="44"/>
  <c r="DZ34" i="44"/>
  <c r="EA34" i="44"/>
  <c r="EB34" i="44"/>
  <c r="EC34" i="44"/>
  <c r="ED34" i="44"/>
  <c r="EE34" i="44"/>
  <c r="EF34" i="44"/>
  <c r="EG34" i="44"/>
  <c r="EH34" i="44"/>
  <c r="EK34" i="44"/>
  <c r="EL34" i="44"/>
  <c r="EM34" i="44"/>
  <c r="EN34" i="44"/>
  <c r="EQ34" i="44"/>
  <c r="ER34" i="44"/>
  <c r="ES34" i="44"/>
  <c r="ET34" i="44"/>
  <c r="EU34" i="44"/>
  <c r="EV34" i="44"/>
  <c r="EW34" i="44"/>
  <c r="EX34" i="44"/>
  <c r="EZ34" i="44"/>
  <c r="FF34" i="44"/>
  <c r="FG34" i="44"/>
  <c r="FH34" i="44"/>
  <c r="AI35" i="44"/>
  <c r="AJ35" i="44"/>
  <c r="AK35" i="44"/>
  <c r="AM35" i="44"/>
  <c r="AN35" i="44"/>
  <c r="AP35" i="44"/>
  <c r="AQ35" i="44"/>
  <c r="AR35" i="44"/>
  <c r="AS35" i="44"/>
  <c r="AT35" i="44"/>
  <c r="AU35" i="44"/>
  <c r="AW35" i="44"/>
  <c r="AX35" i="44"/>
  <c r="AY35" i="44"/>
  <c r="AZ35" i="44"/>
  <c r="BA35" i="44"/>
  <c r="BB35" i="44"/>
  <c r="BC35" i="44"/>
  <c r="BI35" i="44"/>
  <c r="BJ35" i="44"/>
  <c r="BK35" i="44"/>
  <c r="BL35" i="44"/>
  <c r="BM35" i="44"/>
  <c r="BN35" i="44"/>
  <c r="BO35" i="44"/>
  <c r="BP35" i="44"/>
  <c r="BQ35" i="44"/>
  <c r="BR35" i="44"/>
  <c r="BS35" i="44"/>
  <c r="BT35" i="44"/>
  <c r="BU35" i="44"/>
  <c r="BV35" i="44"/>
  <c r="BW35" i="44"/>
  <c r="BX35" i="44"/>
  <c r="BY35" i="44"/>
  <c r="BZ35" i="44"/>
  <c r="CA35" i="44"/>
  <c r="CB35" i="44"/>
  <c r="CC35" i="44"/>
  <c r="CD35" i="44"/>
  <c r="CF35" i="44"/>
  <c r="CG35" i="44"/>
  <c r="CH35" i="44"/>
  <c r="CI35" i="44"/>
  <c r="CJ35" i="44"/>
  <c r="CK35" i="44"/>
  <c r="CL35" i="44"/>
  <c r="CM35" i="44"/>
  <c r="CN35" i="44"/>
  <c r="CO35" i="44"/>
  <c r="CQ35" i="44"/>
  <c r="CW35" i="44"/>
  <c r="CX35" i="44"/>
  <c r="CY35" i="44"/>
  <c r="CZ35" i="44"/>
  <c r="DB35" i="44"/>
  <c r="DC35" i="44"/>
  <c r="DD35" i="44"/>
  <c r="DF35" i="44"/>
  <c r="DG35" i="44"/>
  <c r="DH35" i="44"/>
  <c r="DI35" i="44"/>
  <c r="DJ35" i="44"/>
  <c r="DK35" i="44"/>
  <c r="DL35" i="44"/>
  <c r="DM35" i="44"/>
  <c r="DN35" i="44"/>
  <c r="DO35" i="44"/>
  <c r="DP35" i="44"/>
  <c r="DQ35" i="44"/>
  <c r="DR35" i="44"/>
  <c r="DS35" i="44"/>
  <c r="DT35" i="44"/>
  <c r="DU35" i="44"/>
  <c r="DV35" i="44"/>
  <c r="DW35" i="44"/>
  <c r="DX35" i="44"/>
  <c r="DY35" i="44"/>
  <c r="DZ35" i="44"/>
  <c r="EA35" i="44"/>
  <c r="EB35" i="44"/>
  <c r="EC35" i="44"/>
  <c r="ED35" i="44"/>
  <c r="EE35" i="44"/>
  <c r="EF35" i="44"/>
  <c r="EG35" i="44"/>
  <c r="EH35" i="44"/>
  <c r="EK35" i="44"/>
  <c r="EL35" i="44"/>
  <c r="EM35" i="44"/>
  <c r="EN35" i="44"/>
  <c r="EQ35" i="44"/>
  <c r="ER35" i="44"/>
  <c r="ES35" i="44"/>
  <c r="ET35" i="44"/>
  <c r="EU35" i="44"/>
  <c r="EV35" i="44"/>
  <c r="EW35" i="44"/>
  <c r="EX35" i="44"/>
  <c r="EZ35" i="44"/>
  <c r="FF35" i="44"/>
  <c r="FG35" i="44"/>
  <c r="FH35" i="44"/>
  <c r="AI36" i="44"/>
  <c r="AJ36" i="44"/>
  <c r="AK36" i="44"/>
  <c r="AM36" i="44"/>
  <c r="AN36" i="44"/>
  <c r="AP36" i="44"/>
  <c r="AQ36" i="44"/>
  <c r="AR36" i="44"/>
  <c r="AS36" i="44"/>
  <c r="AT36" i="44"/>
  <c r="AU36" i="44"/>
  <c r="AW36" i="44"/>
  <c r="AX36" i="44"/>
  <c r="AY36" i="44"/>
  <c r="AZ36" i="44"/>
  <c r="BA36" i="44"/>
  <c r="BB36" i="44"/>
  <c r="BC36" i="44"/>
  <c r="BI36" i="44"/>
  <c r="BJ36" i="44"/>
  <c r="BK36" i="44"/>
  <c r="BL36" i="44"/>
  <c r="BM36" i="44"/>
  <c r="BN36" i="44"/>
  <c r="BO36" i="44"/>
  <c r="BP36" i="44"/>
  <c r="BQ36" i="44"/>
  <c r="BR36" i="44"/>
  <c r="BS36" i="44"/>
  <c r="BT36" i="44"/>
  <c r="BU36" i="44"/>
  <c r="BV36" i="44"/>
  <c r="BW36" i="44"/>
  <c r="BX36" i="44"/>
  <c r="BY36" i="44"/>
  <c r="BZ36" i="44"/>
  <c r="CA36" i="44"/>
  <c r="CB36" i="44"/>
  <c r="CC36" i="44"/>
  <c r="CD36" i="44"/>
  <c r="CF36" i="44"/>
  <c r="CG36" i="44"/>
  <c r="CH36" i="44"/>
  <c r="CI36" i="44"/>
  <c r="CJ36" i="44"/>
  <c r="CK36" i="44"/>
  <c r="CL36" i="44"/>
  <c r="CM36" i="44"/>
  <c r="CN36" i="44"/>
  <c r="CO36" i="44"/>
  <c r="CQ36" i="44"/>
  <c r="CW36" i="44"/>
  <c r="CX36" i="44"/>
  <c r="CY36" i="44"/>
  <c r="CZ36" i="44"/>
  <c r="DB36" i="44"/>
  <c r="DC36" i="44"/>
  <c r="DD36" i="44"/>
  <c r="DF36" i="44"/>
  <c r="DG36" i="44"/>
  <c r="DH36" i="44"/>
  <c r="DI36" i="44"/>
  <c r="DJ36" i="44"/>
  <c r="DK36" i="44"/>
  <c r="DL36" i="44"/>
  <c r="DM36" i="44"/>
  <c r="DN36" i="44"/>
  <c r="DO36" i="44"/>
  <c r="DP36" i="44"/>
  <c r="DQ36" i="44"/>
  <c r="DR36" i="44"/>
  <c r="DS36" i="44"/>
  <c r="DT36" i="44"/>
  <c r="DU36" i="44"/>
  <c r="DV36" i="44"/>
  <c r="DW36" i="44"/>
  <c r="DX36" i="44"/>
  <c r="DY36" i="44"/>
  <c r="DZ36" i="44"/>
  <c r="EA36" i="44"/>
  <c r="EB36" i="44"/>
  <c r="EC36" i="44"/>
  <c r="ED36" i="44"/>
  <c r="EE36" i="44"/>
  <c r="EF36" i="44"/>
  <c r="EG36" i="44"/>
  <c r="EH36" i="44"/>
  <c r="EK36" i="44"/>
  <c r="EL36" i="44"/>
  <c r="EM36" i="44"/>
  <c r="EN36" i="44"/>
  <c r="EQ36" i="44"/>
  <c r="ER36" i="44"/>
  <c r="ES36" i="44"/>
  <c r="ET36" i="44"/>
  <c r="EU36" i="44"/>
  <c r="EV36" i="44"/>
  <c r="EW36" i="44"/>
  <c r="EX36" i="44"/>
  <c r="EZ36" i="44"/>
  <c r="FF36" i="44"/>
  <c r="FG36" i="44"/>
  <c r="FH36" i="44"/>
  <c r="AI37" i="44"/>
  <c r="AJ37" i="44"/>
  <c r="AK37" i="44"/>
  <c r="AM37" i="44"/>
  <c r="AN37" i="44"/>
  <c r="AP37" i="44"/>
  <c r="AQ37" i="44"/>
  <c r="AR37" i="44"/>
  <c r="AS37" i="44"/>
  <c r="AT37" i="44"/>
  <c r="AU37" i="44"/>
  <c r="AW37" i="44"/>
  <c r="AX37" i="44"/>
  <c r="AY37" i="44"/>
  <c r="AZ37" i="44"/>
  <c r="BA37" i="44"/>
  <c r="BB37" i="44"/>
  <c r="BC37" i="44"/>
  <c r="BI37" i="44"/>
  <c r="BJ37" i="44"/>
  <c r="BK37" i="44"/>
  <c r="BL37" i="44"/>
  <c r="BM37" i="44"/>
  <c r="BN37" i="44"/>
  <c r="BO37" i="44"/>
  <c r="BP37" i="44"/>
  <c r="BQ37" i="44"/>
  <c r="BR37" i="44"/>
  <c r="BS37" i="44"/>
  <c r="BT37" i="44"/>
  <c r="BU37" i="44"/>
  <c r="BV37" i="44"/>
  <c r="BW37" i="44"/>
  <c r="BX37" i="44"/>
  <c r="BY37" i="44"/>
  <c r="BZ37" i="44"/>
  <c r="CA37" i="44"/>
  <c r="CB37" i="44"/>
  <c r="CC37" i="44"/>
  <c r="CD37" i="44"/>
  <c r="CF37" i="44"/>
  <c r="CG37" i="44"/>
  <c r="CH37" i="44"/>
  <c r="CI37" i="44"/>
  <c r="CJ37" i="44"/>
  <c r="CK37" i="44"/>
  <c r="CL37" i="44"/>
  <c r="CM37" i="44"/>
  <c r="CN37" i="44"/>
  <c r="CO37" i="44"/>
  <c r="CQ37" i="44"/>
  <c r="CW37" i="44"/>
  <c r="CX37" i="44"/>
  <c r="CY37" i="44"/>
  <c r="CZ37" i="44"/>
  <c r="DB37" i="44"/>
  <c r="DC37" i="44"/>
  <c r="DD37" i="44"/>
  <c r="DF37" i="44"/>
  <c r="DG37" i="44"/>
  <c r="DH37" i="44"/>
  <c r="DI37" i="44"/>
  <c r="DJ37" i="44"/>
  <c r="DK37" i="44"/>
  <c r="DL37" i="44"/>
  <c r="DM37" i="44"/>
  <c r="DN37" i="44"/>
  <c r="DO37" i="44"/>
  <c r="DP37" i="44"/>
  <c r="DQ37" i="44"/>
  <c r="DR37" i="44"/>
  <c r="DS37" i="44"/>
  <c r="DT37" i="44"/>
  <c r="DU37" i="44"/>
  <c r="DV37" i="44"/>
  <c r="DW37" i="44"/>
  <c r="DX37" i="44"/>
  <c r="DY37" i="44"/>
  <c r="DZ37" i="44"/>
  <c r="EA37" i="44"/>
  <c r="EB37" i="44"/>
  <c r="EC37" i="44"/>
  <c r="ED37" i="44"/>
  <c r="EE37" i="44"/>
  <c r="EF37" i="44"/>
  <c r="EG37" i="44"/>
  <c r="EH37" i="44"/>
  <c r="EK37" i="44"/>
  <c r="EL37" i="44"/>
  <c r="EM37" i="44"/>
  <c r="EN37" i="44"/>
  <c r="EQ37" i="44"/>
  <c r="ER37" i="44"/>
  <c r="ES37" i="44"/>
  <c r="ET37" i="44"/>
  <c r="EU37" i="44"/>
  <c r="EV37" i="44"/>
  <c r="EW37" i="44"/>
  <c r="EX37" i="44"/>
  <c r="EZ37" i="44"/>
  <c r="FF37" i="44"/>
  <c r="FG37" i="44"/>
  <c r="FH37" i="44"/>
  <c r="AI38" i="44"/>
  <c r="AJ38" i="44"/>
  <c r="AK38" i="44"/>
  <c r="AM38" i="44"/>
  <c r="AN38" i="44"/>
  <c r="AP38" i="44"/>
  <c r="AQ38" i="44"/>
  <c r="AR38" i="44"/>
  <c r="AS38" i="44"/>
  <c r="AT38" i="44"/>
  <c r="AU38" i="44"/>
  <c r="AW38" i="44"/>
  <c r="AX38" i="44"/>
  <c r="AY38" i="44"/>
  <c r="AZ38" i="44"/>
  <c r="BA38" i="44"/>
  <c r="BB38" i="44"/>
  <c r="BC38" i="44"/>
  <c r="BI38" i="44"/>
  <c r="BJ38" i="44"/>
  <c r="BK38" i="44"/>
  <c r="BL38" i="44"/>
  <c r="BM38" i="44"/>
  <c r="BN38" i="44"/>
  <c r="BO38" i="44"/>
  <c r="BP38" i="44"/>
  <c r="BQ38" i="44"/>
  <c r="BR38" i="44"/>
  <c r="BS38" i="44"/>
  <c r="BT38" i="44"/>
  <c r="BU38" i="44"/>
  <c r="BV38" i="44"/>
  <c r="BW38" i="44"/>
  <c r="BX38" i="44"/>
  <c r="BY38" i="44"/>
  <c r="BZ38" i="44"/>
  <c r="CA38" i="44"/>
  <c r="CB38" i="44"/>
  <c r="CC38" i="44"/>
  <c r="CD38" i="44"/>
  <c r="CF38" i="44"/>
  <c r="CG38" i="44"/>
  <c r="CH38" i="44"/>
  <c r="CI38" i="44"/>
  <c r="CJ38" i="44"/>
  <c r="CK38" i="44"/>
  <c r="CL38" i="44"/>
  <c r="CM38" i="44"/>
  <c r="CN38" i="44"/>
  <c r="CO38" i="44"/>
  <c r="CQ38" i="44"/>
  <c r="CW38" i="44"/>
  <c r="CX38" i="44"/>
  <c r="CY38" i="44"/>
  <c r="CZ38" i="44"/>
  <c r="DB38" i="44"/>
  <c r="DC38" i="44"/>
  <c r="DD38" i="44"/>
  <c r="DF38" i="44"/>
  <c r="DG38" i="44"/>
  <c r="DH38" i="44"/>
  <c r="DI38" i="44"/>
  <c r="DJ38" i="44"/>
  <c r="DK38" i="44"/>
  <c r="DL38" i="44"/>
  <c r="DM38" i="44"/>
  <c r="DN38" i="44"/>
  <c r="DO38" i="44"/>
  <c r="DP38" i="44"/>
  <c r="DQ38" i="44"/>
  <c r="DR38" i="44"/>
  <c r="DS38" i="44"/>
  <c r="DT38" i="44"/>
  <c r="DU38" i="44"/>
  <c r="DV38" i="44"/>
  <c r="DW38" i="44"/>
  <c r="DX38" i="44"/>
  <c r="DY38" i="44"/>
  <c r="DZ38" i="44"/>
  <c r="EA38" i="44"/>
  <c r="EB38" i="44"/>
  <c r="EC38" i="44"/>
  <c r="ED38" i="44"/>
  <c r="EE38" i="44"/>
  <c r="EF38" i="44"/>
  <c r="EG38" i="44"/>
  <c r="EH38" i="44"/>
  <c r="EK38" i="44"/>
  <c r="EL38" i="44"/>
  <c r="EM38" i="44"/>
  <c r="EN38" i="44"/>
  <c r="EQ38" i="44"/>
  <c r="ER38" i="44"/>
  <c r="ES38" i="44"/>
  <c r="ET38" i="44"/>
  <c r="EU38" i="44"/>
  <c r="EV38" i="44"/>
  <c r="EW38" i="44"/>
  <c r="EX38" i="44"/>
  <c r="EZ38" i="44"/>
  <c r="FF38" i="44"/>
  <c r="FG38" i="44"/>
  <c r="FH38" i="44"/>
  <c r="DQ8" i="44"/>
  <c r="DQ39" i="44"/>
  <c r="DQ40" i="44"/>
  <c r="DQ41" i="44"/>
  <c r="DQ42" i="44"/>
  <c r="DQ43" i="44"/>
  <c r="DQ44" i="44"/>
  <c r="DQ45" i="44"/>
  <c r="DQ46" i="44"/>
  <c r="DQ47" i="44"/>
  <c r="DQ48" i="44"/>
  <c r="DQ49" i="44"/>
  <c r="DQ50" i="44"/>
  <c r="DQ51" i="44"/>
  <c r="DQ52" i="44"/>
  <c r="DQ53" i="44"/>
  <c r="DQ54" i="44"/>
  <c r="DQ55" i="44"/>
  <c r="DQ56" i="44"/>
  <c r="DQ57" i="44"/>
  <c r="DQ58" i="44"/>
  <c r="DQ59" i="44"/>
  <c r="DQ60" i="44"/>
  <c r="DQ61" i="44"/>
  <c r="DQ62" i="44"/>
  <c r="DQ63" i="44"/>
  <c r="DQ64" i="44"/>
  <c r="DQ65" i="44"/>
  <c r="DQ7" i="44"/>
  <c r="DP7" i="44"/>
  <c r="Y149" i="44"/>
  <c r="Y148" i="44"/>
  <c r="P7" i="58" l="1"/>
  <c r="AL16" i="44"/>
  <c r="EO15" i="44"/>
  <c r="AB14" i="44"/>
  <c r="AB12" i="44"/>
  <c r="FI10" i="44"/>
  <c r="DA9" i="44"/>
  <c r="AL9" i="44"/>
  <c r="DA16" i="44"/>
  <c r="AB15" i="44"/>
  <c r="CP10" i="44"/>
  <c r="AL10" i="44"/>
  <c r="AO22" i="44"/>
  <c r="AL18" i="44"/>
  <c r="EO17" i="44"/>
  <c r="DA17" i="44"/>
  <c r="AO17" i="44"/>
  <c r="DE16" i="44"/>
  <c r="AB16" i="44"/>
  <c r="DE10" i="44"/>
  <c r="AO10" i="44"/>
  <c r="AB18" i="44"/>
  <c r="AB17" i="44"/>
  <c r="AB13" i="44"/>
  <c r="AB11" i="44"/>
  <c r="EI10" i="44"/>
  <c r="FI24" i="44"/>
  <c r="DE23" i="44"/>
  <c r="AB22" i="44"/>
  <c r="FI20" i="44"/>
  <c r="AB19" i="44"/>
  <c r="CP18" i="44"/>
  <c r="BD17" i="44"/>
  <c r="AO15" i="44"/>
  <c r="EI14" i="44"/>
  <c r="FI13" i="44"/>
  <c r="EO13" i="44"/>
  <c r="FI12" i="44"/>
  <c r="BD12" i="44"/>
  <c r="CE11" i="44"/>
  <c r="DE36" i="44"/>
  <c r="AB23" i="44"/>
  <c r="AC17" i="44"/>
  <c r="EI18" i="44"/>
  <c r="FI16" i="44"/>
  <c r="BD16" i="44"/>
  <c r="CE15" i="44"/>
  <c r="FI14" i="44"/>
  <c r="EY12" i="44"/>
  <c r="FI11" i="44"/>
  <c r="AB24" i="44"/>
  <c r="FI22" i="44"/>
  <c r="AO21" i="44"/>
  <c r="AB20" i="44"/>
  <c r="FI18" i="44"/>
  <c r="EO18" i="44"/>
  <c r="AV17" i="44"/>
  <c r="EO16" i="44"/>
  <c r="FI15" i="44"/>
  <c r="CP14" i="44"/>
  <c r="AL14" i="44"/>
  <c r="AV12" i="44"/>
  <c r="EO11" i="44"/>
  <c r="AB21" i="44"/>
  <c r="CE19" i="44"/>
  <c r="AV16" i="44"/>
  <c r="DA36" i="44"/>
  <c r="AL30" i="44"/>
  <c r="FI28" i="44"/>
  <c r="FI27" i="44"/>
  <c r="FI29" i="44"/>
  <c r="AO37" i="44"/>
  <c r="AO33" i="44"/>
  <c r="AB32" i="44"/>
  <c r="AB26" i="44"/>
  <c r="DA24" i="44"/>
  <c r="AO23" i="44"/>
  <c r="DE21" i="44"/>
  <c r="BD21" i="44"/>
  <c r="AB33" i="44"/>
  <c r="AB27" i="44"/>
  <c r="DE24" i="44"/>
  <c r="BD24" i="44"/>
  <c r="CE23" i="44"/>
  <c r="AV21" i="44"/>
  <c r="EO19" i="44"/>
  <c r="DE19" i="44"/>
  <c r="AB34" i="44"/>
  <c r="AB30" i="44"/>
  <c r="CP30" i="44"/>
  <c r="DE28" i="44"/>
  <c r="AB28" i="44"/>
  <c r="FI26" i="44"/>
  <c r="FI23" i="44"/>
  <c r="EY20" i="44"/>
  <c r="EO20" i="44"/>
  <c r="DA20" i="44"/>
  <c r="AV20" i="44"/>
  <c r="AL20" i="44"/>
  <c r="FI37" i="44"/>
  <c r="AB35" i="44"/>
  <c r="FI33" i="44"/>
  <c r="AB31" i="44"/>
  <c r="DE29" i="44"/>
  <c r="AB29" i="44"/>
  <c r="BD29" i="44"/>
  <c r="AL26" i="44"/>
  <c r="AB25" i="44"/>
  <c r="AH25" i="44"/>
  <c r="AV24" i="44"/>
  <c r="EO23" i="44"/>
  <c r="EI22" i="44"/>
  <c r="DA22" i="44"/>
  <c r="CP22" i="44"/>
  <c r="AL22" i="44"/>
  <c r="DE20" i="44"/>
  <c r="BD20" i="44"/>
  <c r="AB38" i="44"/>
  <c r="AB36" i="44"/>
  <c r="AB37" i="44"/>
  <c r="CE38" i="44"/>
  <c r="AO38" i="44"/>
  <c r="EI34" i="44"/>
  <c r="DA28" i="44"/>
  <c r="AL28" i="44"/>
  <c r="CE27" i="44"/>
  <c r="AO27" i="44"/>
  <c r="EI26" i="44"/>
  <c r="FI25" i="44"/>
  <c r="BD36" i="44"/>
  <c r="CE35" i="44"/>
  <c r="BD28" i="44"/>
  <c r="EO26" i="44"/>
  <c r="CP26" i="44"/>
  <c r="FI38" i="44"/>
  <c r="CP37" i="44"/>
  <c r="AV37" i="44"/>
  <c r="EY36" i="44"/>
  <c r="FI35" i="44"/>
  <c r="EO35" i="44"/>
  <c r="CP34" i="44"/>
  <c r="AL34" i="44"/>
  <c r="DE32" i="44"/>
  <c r="EO30" i="44"/>
  <c r="AV28" i="44"/>
  <c r="EO38" i="44"/>
  <c r="CP38" i="44"/>
  <c r="AV36" i="44"/>
  <c r="DE34" i="44"/>
  <c r="EO27" i="44"/>
  <c r="DE27" i="44"/>
  <c r="AO26" i="44"/>
  <c r="EY24" i="44"/>
  <c r="AL38" i="44"/>
  <c r="DE37" i="44"/>
  <c r="BD37" i="44"/>
  <c r="EO36" i="44"/>
  <c r="EI36" i="44"/>
  <c r="AL36" i="44"/>
  <c r="EI35" i="44"/>
  <c r="DE35" i="44"/>
  <c r="BD35" i="44"/>
  <c r="EY34" i="44"/>
  <c r="DE33" i="44"/>
  <c r="BD33" i="44"/>
  <c r="AV32" i="44"/>
  <c r="FI31" i="44"/>
  <c r="AV29" i="44"/>
  <c r="EY38" i="44"/>
  <c r="DA38" i="44"/>
  <c r="AV38" i="44"/>
  <c r="EI37" i="44"/>
  <c r="CE37" i="44"/>
  <c r="FI36" i="44"/>
  <c r="CE36" i="44"/>
  <c r="AO36" i="44"/>
  <c r="EY35" i="44"/>
  <c r="CP35" i="44"/>
  <c r="AL35" i="44"/>
  <c r="AV33" i="44"/>
  <c r="EO31" i="44"/>
  <c r="EY28" i="44"/>
  <c r="EO28" i="44"/>
  <c r="EI38" i="44"/>
  <c r="BD38" i="44"/>
  <c r="EO37" i="44"/>
  <c r="CP36" i="44"/>
  <c r="DA35" i="44"/>
  <c r="AO35" i="44"/>
  <c r="EO34" i="44"/>
  <c r="EY32" i="44"/>
  <c r="EO32" i="44"/>
  <c r="DA32" i="44"/>
  <c r="AL32" i="44"/>
  <c r="CE31" i="44"/>
  <c r="AO31" i="44"/>
  <c r="AO29" i="44"/>
  <c r="DE38" i="44"/>
  <c r="EY37" i="44"/>
  <c r="DA37" i="44"/>
  <c r="AL37" i="44"/>
  <c r="BD32" i="44"/>
  <c r="AV35" i="44"/>
  <c r="FI34" i="44"/>
  <c r="CE34" i="44"/>
  <c r="AO34" i="44"/>
  <c r="EY33" i="44"/>
  <c r="EO33" i="44"/>
  <c r="DA33" i="44"/>
  <c r="AL33" i="44"/>
  <c r="EI32" i="44"/>
  <c r="DE31" i="44"/>
  <c r="AV31" i="44"/>
  <c r="FI30" i="44"/>
  <c r="CE30" i="44"/>
  <c r="AO30" i="44"/>
  <c r="EY29" i="44"/>
  <c r="EO29" i="44"/>
  <c r="DA29" i="44"/>
  <c r="AL29" i="44"/>
  <c r="EI28" i="44"/>
  <c r="DA27" i="44"/>
  <c r="AV27" i="44"/>
  <c r="DE26" i="44"/>
  <c r="EO25" i="44"/>
  <c r="DA25" i="44"/>
  <c r="CE24" i="44"/>
  <c r="AO24" i="44"/>
  <c r="CP23" i="44"/>
  <c r="BD23" i="44"/>
  <c r="AL23" i="44"/>
  <c r="EY22" i="44"/>
  <c r="EY21" i="44"/>
  <c r="EO21" i="44"/>
  <c r="DA21" i="44"/>
  <c r="CP21" i="44"/>
  <c r="AL21" i="44"/>
  <c r="EI20" i="44"/>
  <c r="DA19" i="44"/>
  <c r="AV19" i="44"/>
  <c r="DE18" i="44"/>
  <c r="BD18" i="44"/>
  <c r="AO18" i="44"/>
  <c r="EY16" i="44"/>
  <c r="CE16" i="44"/>
  <c r="AO16" i="44"/>
  <c r="DE15" i="44"/>
  <c r="AL15" i="44"/>
  <c r="DE14" i="44"/>
  <c r="AV14" i="44"/>
  <c r="EI13" i="44"/>
  <c r="CE13" i="44"/>
  <c r="CE12" i="44"/>
  <c r="AO12" i="44"/>
  <c r="DE11" i="44"/>
  <c r="CP11" i="44"/>
  <c r="AL11" i="44"/>
  <c r="AV10" i="44"/>
  <c r="EI9" i="44"/>
  <c r="CE9" i="44"/>
  <c r="AV9" i="44"/>
  <c r="EI31" i="44"/>
  <c r="CP31" i="44"/>
  <c r="BD31" i="44"/>
  <c r="EY30" i="44"/>
  <c r="EI27" i="44"/>
  <c r="CE26" i="44"/>
  <c r="BD26" i="44"/>
  <c r="CP24" i="44"/>
  <c r="EY23" i="44"/>
  <c r="AV22" i="44"/>
  <c r="EI19" i="44"/>
  <c r="CE18" i="44"/>
  <c r="EY17" i="44"/>
  <c r="CP17" i="44"/>
  <c r="CP16" i="44"/>
  <c r="DA15" i="44"/>
  <c r="EO14" i="44"/>
  <c r="BD14" i="44"/>
  <c r="CP13" i="44"/>
  <c r="CP12" i="44"/>
  <c r="DA11" i="44"/>
  <c r="EO10" i="44"/>
  <c r="BD10" i="44"/>
  <c r="EO9" i="44"/>
  <c r="CP9" i="44"/>
  <c r="DA34" i="44"/>
  <c r="AV34" i="44"/>
  <c r="EI33" i="44"/>
  <c r="CE33" i="44"/>
  <c r="FI32" i="44"/>
  <c r="CE32" i="44"/>
  <c r="AO32" i="44"/>
  <c r="EY31" i="44"/>
  <c r="AL31" i="44"/>
  <c r="EI30" i="44"/>
  <c r="DA30" i="44"/>
  <c r="AV30" i="44"/>
  <c r="EI29" i="44"/>
  <c r="CE29" i="44"/>
  <c r="CE28" i="44"/>
  <c r="AO28" i="44"/>
  <c r="CP27" i="44"/>
  <c r="BD27" i="44"/>
  <c r="AL27" i="44"/>
  <c r="EY26" i="44"/>
  <c r="DA23" i="44"/>
  <c r="AV23" i="44"/>
  <c r="DE22" i="44"/>
  <c r="EI21" i="44"/>
  <c r="CE21" i="44"/>
  <c r="CE20" i="44"/>
  <c r="AO20" i="44"/>
  <c r="CP19" i="44"/>
  <c r="BD19" i="44"/>
  <c r="AL19" i="44"/>
  <c r="EY18" i="44"/>
  <c r="DE17" i="44"/>
  <c r="EY15" i="44"/>
  <c r="AV15" i="44"/>
  <c r="EY14" i="44"/>
  <c r="CE14" i="44"/>
  <c r="AO14" i="44"/>
  <c r="EY13" i="44"/>
  <c r="DA13" i="44"/>
  <c r="AV13" i="44"/>
  <c r="EI12" i="44"/>
  <c r="EY11" i="44"/>
  <c r="AV11" i="44"/>
  <c r="CE10" i="44"/>
  <c r="EY9" i="44"/>
  <c r="BD34" i="44"/>
  <c r="CP33" i="44"/>
  <c r="CP32" i="44"/>
  <c r="DA31" i="44"/>
  <c r="DE30" i="44"/>
  <c r="BD30" i="44"/>
  <c r="CP29" i="44"/>
  <c r="CP28" i="44"/>
  <c r="EY27" i="44"/>
  <c r="DA26" i="44"/>
  <c r="AV26" i="44"/>
  <c r="AV25" i="44"/>
  <c r="EO24" i="44"/>
  <c r="EI24" i="44"/>
  <c r="AL24" i="44"/>
  <c r="EI23" i="44"/>
  <c r="EO22" i="44"/>
  <c r="CE22" i="44"/>
  <c r="BD22" i="44"/>
  <c r="CP20" i="44"/>
  <c r="FI19" i="44"/>
  <c r="EY19" i="44"/>
  <c r="AO19" i="44"/>
  <c r="DA18" i="44"/>
  <c r="AV18" i="44"/>
  <c r="EI17" i="44"/>
  <c r="CE17" i="44"/>
  <c r="AL17" i="44"/>
  <c r="EI16" i="44"/>
  <c r="EI15" i="44"/>
  <c r="CP15" i="44"/>
  <c r="BD15" i="44"/>
  <c r="DA14" i="44"/>
  <c r="DE13" i="44"/>
  <c r="BD13" i="44"/>
  <c r="AL13" i="44"/>
  <c r="EO12" i="44"/>
  <c r="AL12" i="44"/>
  <c r="EI11" i="44"/>
  <c r="BD11" i="44"/>
  <c r="EY10" i="44"/>
  <c r="DA10" i="44"/>
  <c r="DE9" i="44"/>
  <c r="BD9" i="44"/>
  <c r="AO9" i="44"/>
  <c r="DE25" i="44"/>
  <c r="BD25" i="44"/>
  <c r="AO25" i="44"/>
  <c r="EI25" i="44"/>
  <c r="CE25" i="44"/>
  <c r="EY25" i="44"/>
  <c r="CP25" i="44"/>
  <c r="AL25" i="44"/>
  <c r="AH9" i="44"/>
  <c r="DQ66" i="44"/>
  <c r="DY8" i="44"/>
  <c r="BO8" i="44"/>
  <c r="BO39" i="44"/>
  <c r="BO40" i="44"/>
  <c r="BO41" i="44"/>
  <c r="BO42" i="44"/>
  <c r="BO43" i="44"/>
  <c r="BO44" i="44"/>
  <c r="BO45" i="44"/>
  <c r="BO46" i="44"/>
  <c r="BO47" i="44"/>
  <c r="BO48" i="44"/>
  <c r="BO49" i="44"/>
  <c r="BO50" i="44"/>
  <c r="BO51" i="44"/>
  <c r="BO52" i="44"/>
  <c r="BO53" i="44"/>
  <c r="BO54" i="44"/>
  <c r="BO55" i="44"/>
  <c r="BO56" i="44"/>
  <c r="BO57" i="44"/>
  <c r="BO58" i="44"/>
  <c r="BO59" i="44"/>
  <c r="BO60" i="44"/>
  <c r="BO61" i="44"/>
  <c r="BO62" i="44"/>
  <c r="BO63" i="44"/>
  <c r="BO64" i="44"/>
  <c r="BO65" i="44"/>
  <c r="BO7" i="44"/>
  <c r="BN7" i="44"/>
  <c r="Y62" i="44"/>
  <c r="AH13" i="44" l="1"/>
  <c r="BO66" i="44"/>
  <c r="L164" i="60"/>
  <c r="H6" i="68"/>
  <c r="H7" i="68"/>
  <c r="H8" i="68"/>
  <c r="H9" i="68"/>
  <c r="H10" i="68"/>
  <c r="H11" i="68"/>
  <c r="H12" i="68"/>
  <c r="H13" i="68"/>
  <c r="H14" i="68"/>
  <c r="H15" i="68"/>
  <c r="H5" i="68"/>
  <c r="H17" i="68" s="1"/>
  <c r="O25" i="60"/>
  <c r="O26" i="60"/>
  <c r="O28" i="60"/>
  <c r="O29" i="60"/>
  <c r="O30" i="60"/>
  <c r="O31" i="60"/>
  <c r="O27" i="60"/>
  <c r="O22" i="60"/>
  <c r="O18" i="60"/>
  <c r="O19" i="60"/>
  <c r="O21" i="60"/>
  <c r="O17" i="60"/>
  <c r="O9" i="60"/>
  <c r="O10" i="60"/>
  <c r="O8" i="60"/>
  <c r="O159" i="60"/>
  <c r="D74" i="60"/>
  <c r="E74" i="60"/>
  <c r="F74" i="60"/>
  <c r="G74" i="60"/>
  <c r="H74" i="60"/>
  <c r="I74" i="60"/>
  <c r="J74" i="60"/>
  <c r="K74" i="60"/>
  <c r="L74" i="60"/>
  <c r="M74" i="60"/>
  <c r="C74" i="60"/>
  <c r="O62" i="60"/>
  <c r="O63" i="60"/>
  <c r="O64" i="60"/>
  <c r="O65" i="60"/>
  <c r="O66" i="60"/>
  <c r="O67" i="60"/>
  <c r="O68" i="60"/>
  <c r="O69" i="60"/>
  <c r="O70" i="60"/>
  <c r="O37" i="60"/>
  <c r="O14" i="60"/>
  <c r="O13" i="60"/>
  <c r="O32" i="60" l="1"/>
  <c r="D164" i="60"/>
  <c r="E164" i="60"/>
  <c r="F164" i="60"/>
  <c r="G164" i="60"/>
  <c r="H164" i="60"/>
  <c r="I164" i="60"/>
  <c r="J164" i="60"/>
  <c r="K164" i="60"/>
  <c r="M164" i="60"/>
  <c r="C164" i="60"/>
  <c r="D145" i="60"/>
  <c r="E145" i="60"/>
  <c r="F145" i="60"/>
  <c r="G145" i="60"/>
  <c r="H145" i="60"/>
  <c r="I145" i="60"/>
  <c r="J145" i="60"/>
  <c r="K145" i="60"/>
  <c r="L145" i="60"/>
  <c r="M145" i="60"/>
  <c r="C145" i="60"/>
  <c r="O144" i="60"/>
  <c r="O135" i="60"/>
  <c r="O136" i="60"/>
  <c r="O137" i="60"/>
  <c r="O138" i="60"/>
  <c r="O139" i="60"/>
  <c r="O140" i="60"/>
  <c r="O141" i="60"/>
  <c r="O134" i="60"/>
  <c r="O127" i="60"/>
  <c r="O92" i="60"/>
  <c r="O88" i="60"/>
  <c r="O89" i="60"/>
  <c r="O87" i="60"/>
  <c r="O83" i="60"/>
  <c r="O84" i="60"/>
  <c r="O82" i="60"/>
  <c r="O79" i="60"/>
  <c r="O73" i="60"/>
  <c r="O61" i="60"/>
  <c r="D32" i="60"/>
  <c r="E32" i="60"/>
  <c r="F32" i="60"/>
  <c r="G32" i="60"/>
  <c r="H32" i="60"/>
  <c r="I32" i="60"/>
  <c r="J32" i="60"/>
  <c r="K32" i="60"/>
  <c r="L32" i="60"/>
  <c r="M32" i="60"/>
  <c r="C32" i="60"/>
  <c r="P62" i="56"/>
  <c r="P124" i="56"/>
  <c r="O64" i="72"/>
  <c r="K64" i="72"/>
  <c r="J64" i="72"/>
  <c r="I64" i="72"/>
  <c r="H64" i="72"/>
  <c r="G64" i="72"/>
  <c r="F64" i="72"/>
  <c r="E64" i="72"/>
  <c r="D64" i="72"/>
  <c r="Q63" i="72"/>
  <c r="C63" i="72"/>
  <c r="B63" i="72"/>
  <c r="Q62" i="72"/>
  <c r="C62" i="72"/>
  <c r="B62" i="72"/>
  <c r="Q61" i="72"/>
  <c r="C61" i="72"/>
  <c r="B61" i="72"/>
  <c r="Q60" i="72"/>
  <c r="C60" i="72"/>
  <c r="B60" i="72"/>
  <c r="Q59" i="72"/>
  <c r="C59" i="72"/>
  <c r="B59" i="72"/>
  <c r="Q58" i="72"/>
  <c r="C58" i="72"/>
  <c r="B58" i="72"/>
  <c r="Q57" i="72"/>
  <c r="C57" i="72"/>
  <c r="B57" i="72"/>
  <c r="Q56" i="72"/>
  <c r="C56" i="72"/>
  <c r="B56" i="72"/>
  <c r="Q55" i="72"/>
  <c r="C55" i="72"/>
  <c r="B55" i="72"/>
  <c r="Q54" i="72"/>
  <c r="C54" i="72"/>
  <c r="B54" i="72"/>
  <c r="Q53" i="72"/>
  <c r="C53" i="72"/>
  <c r="B53" i="72"/>
  <c r="Q52" i="72"/>
  <c r="C52" i="72"/>
  <c r="B52" i="72"/>
  <c r="Q51" i="72"/>
  <c r="C51" i="72"/>
  <c r="B51" i="72"/>
  <c r="Q50" i="72"/>
  <c r="C50" i="72"/>
  <c r="B50" i="72"/>
  <c r="Q49" i="72"/>
  <c r="C49" i="72"/>
  <c r="B49" i="72"/>
  <c r="Q48" i="72"/>
  <c r="C48" i="72"/>
  <c r="B48" i="72"/>
  <c r="Q47" i="72"/>
  <c r="C47" i="72"/>
  <c r="B47" i="72"/>
  <c r="Q46" i="72"/>
  <c r="C46" i="72"/>
  <c r="B46" i="72"/>
  <c r="Q45" i="72"/>
  <c r="C45" i="72"/>
  <c r="B45" i="72"/>
  <c r="Q44" i="72"/>
  <c r="C44" i="72"/>
  <c r="B44" i="72"/>
  <c r="Q43" i="72"/>
  <c r="C43" i="72"/>
  <c r="B43" i="72"/>
  <c r="Q42" i="72"/>
  <c r="C42" i="72"/>
  <c r="B42" i="72"/>
  <c r="Q41" i="72"/>
  <c r="C41" i="72"/>
  <c r="B41" i="72"/>
  <c r="Q40" i="72"/>
  <c r="C40" i="72"/>
  <c r="B40" i="72"/>
  <c r="Q39" i="72"/>
  <c r="C39" i="72"/>
  <c r="B39" i="72"/>
  <c r="Q38" i="72"/>
  <c r="C38" i="72"/>
  <c r="B38" i="72"/>
  <c r="Q37" i="72"/>
  <c r="C37" i="72"/>
  <c r="B37" i="72"/>
  <c r="Q36" i="72"/>
  <c r="C36" i="72"/>
  <c r="B36" i="72"/>
  <c r="Q35" i="72"/>
  <c r="C35" i="72"/>
  <c r="B35" i="72"/>
  <c r="Q34" i="72"/>
  <c r="C34" i="72"/>
  <c r="B34" i="72"/>
  <c r="Q33" i="72"/>
  <c r="C33" i="72"/>
  <c r="B33" i="72"/>
  <c r="Q32" i="72"/>
  <c r="C32" i="72"/>
  <c r="B32" i="72"/>
  <c r="Q31" i="72"/>
  <c r="C31" i="72"/>
  <c r="B31" i="72"/>
  <c r="Q30" i="72"/>
  <c r="C30" i="72"/>
  <c r="B30" i="72"/>
  <c r="Q29" i="72"/>
  <c r="C29" i="72"/>
  <c r="B29" i="72"/>
  <c r="Q28" i="72"/>
  <c r="C28" i="72"/>
  <c r="B28" i="72"/>
  <c r="Q27" i="72"/>
  <c r="C27" i="72"/>
  <c r="B27" i="72"/>
  <c r="Q26" i="72"/>
  <c r="C26" i="72"/>
  <c r="B26" i="72"/>
  <c r="Q25" i="72"/>
  <c r="C25" i="72"/>
  <c r="B25" i="72"/>
  <c r="Q24" i="72"/>
  <c r="C24" i="72"/>
  <c r="B24" i="72"/>
  <c r="Q23" i="72"/>
  <c r="C23" i="72"/>
  <c r="B23" i="72"/>
  <c r="Q22" i="72"/>
  <c r="C22" i="72"/>
  <c r="B22" i="72"/>
  <c r="Q21" i="72"/>
  <c r="C21" i="72"/>
  <c r="B21" i="72"/>
  <c r="Q20" i="72"/>
  <c r="C20" i="72"/>
  <c r="B20" i="72"/>
  <c r="Q19" i="72"/>
  <c r="C19" i="72"/>
  <c r="B19" i="72"/>
  <c r="Q18" i="72"/>
  <c r="C18" i="72"/>
  <c r="B18" i="72"/>
  <c r="Q17" i="72"/>
  <c r="C17" i="72"/>
  <c r="B17" i="72"/>
  <c r="Q16" i="72"/>
  <c r="C16" i="72"/>
  <c r="B16" i="72"/>
  <c r="Q15" i="72"/>
  <c r="C15" i="72"/>
  <c r="B15" i="72"/>
  <c r="Q14" i="72"/>
  <c r="C14" i="72"/>
  <c r="B14" i="72"/>
  <c r="Q13" i="72"/>
  <c r="C13" i="72"/>
  <c r="B13" i="72"/>
  <c r="Q12" i="72"/>
  <c r="C12" i="72"/>
  <c r="B12" i="72"/>
  <c r="Q10" i="72"/>
  <c r="C10" i="72"/>
  <c r="B10" i="72"/>
  <c r="Q9" i="72"/>
  <c r="C9" i="72"/>
  <c r="B9" i="72"/>
  <c r="Q8" i="72"/>
  <c r="C8" i="72"/>
  <c r="B8" i="72"/>
  <c r="Q6" i="72"/>
  <c r="C6" i="72"/>
  <c r="B6" i="72"/>
  <c r="Q5" i="72"/>
  <c r="P64" i="72"/>
  <c r="C5" i="72"/>
  <c r="B5" i="72"/>
  <c r="N256" i="71"/>
  <c r="M256" i="71"/>
  <c r="L256" i="71"/>
  <c r="K256" i="71"/>
  <c r="J256" i="71"/>
  <c r="I256" i="71"/>
  <c r="H256" i="71"/>
  <c r="G256" i="71"/>
  <c r="F256" i="71"/>
  <c r="E256" i="71"/>
  <c r="D256" i="71"/>
  <c r="Q255" i="71"/>
  <c r="P255" i="71"/>
  <c r="C255" i="71"/>
  <c r="B255" i="71"/>
  <c r="Q254" i="71"/>
  <c r="P254" i="71"/>
  <c r="C254" i="71"/>
  <c r="B254" i="71"/>
  <c r="Q253" i="71"/>
  <c r="P253" i="71"/>
  <c r="C253" i="71"/>
  <c r="B253" i="71"/>
  <c r="Q252" i="71"/>
  <c r="P252" i="71"/>
  <c r="C252" i="71"/>
  <c r="B252" i="71"/>
  <c r="Q251" i="71"/>
  <c r="P251" i="71"/>
  <c r="C251" i="71"/>
  <c r="B251" i="71"/>
  <c r="Q250" i="71"/>
  <c r="P250" i="71"/>
  <c r="C250" i="71"/>
  <c r="B250" i="71"/>
  <c r="Q249" i="71"/>
  <c r="P249" i="71"/>
  <c r="C249" i="71"/>
  <c r="B249" i="71"/>
  <c r="Q248" i="71"/>
  <c r="P248" i="71"/>
  <c r="C248" i="71"/>
  <c r="B248" i="71"/>
  <c r="Q247" i="71"/>
  <c r="P247" i="71"/>
  <c r="C247" i="71"/>
  <c r="B247" i="71"/>
  <c r="Q246" i="71"/>
  <c r="P246" i="71"/>
  <c r="C246" i="71"/>
  <c r="B246" i="71"/>
  <c r="Q245" i="71"/>
  <c r="P245" i="71"/>
  <c r="C245" i="71"/>
  <c r="B245" i="71"/>
  <c r="Q244" i="71"/>
  <c r="P244" i="71"/>
  <c r="C244" i="71"/>
  <c r="B244" i="71"/>
  <c r="Q243" i="71"/>
  <c r="P243" i="71"/>
  <c r="C243" i="71"/>
  <c r="B243" i="71"/>
  <c r="Q242" i="71"/>
  <c r="P242" i="71"/>
  <c r="C242" i="71"/>
  <c r="B242" i="71"/>
  <c r="Q241" i="71"/>
  <c r="P241" i="71"/>
  <c r="C241" i="71"/>
  <c r="B241" i="71"/>
  <c r="Q240" i="71"/>
  <c r="P240" i="71"/>
  <c r="C240" i="71"/>
  <c r="B240" i="71"/>
  <c r="Q239" i="71"/>
  <c r="P239" i="71"/>
  <c r="C239" i="71"/>
  <c r="B239" i="71"/>
  <c r="Q238" i="71"/>
  <c r="P238" i="71"/>
  <c r="C238" i="71"/>
  <c r="B238" i="71"/>
  <c r="Q237" i="71"/>
  <c r="P237" i="71"/>
  <c r="C237" i="71"/>
  <c r="B237" i="71"/>
  <c r="Q236" i="71"/>
  <c r="P236" i="71"/>
  <c r="C236" i="71"/>
  <c r="B236" i="71"/>
  <c r="Q235" i="71"/>
  <c r="P235" i="71"/>
  <c r="C235" i="71"/>
  <c r="B235" i="71"/>
  <c r="Q234" i="71"/>
  <c r="P234" i="71"/>
  <c r="C234" i="71"/>
  <c r="B234" i="71"/>
  <c r="Q233" i="71"/>
  <c r="P233" i="71"/>
  <c r="C233" i="71"/>
  <c r="B233" i="71"/>
  <c r="Q232" i="71"/>
  <c r="P232" i="71"/>
  <c r="C232" i="71"/>
  <c r="B232" i="71"/>
  <c r="Q231" i="71"/>
  <c r="P231" i="71"/>
  <c r="C231" i="71"/>
  <c r="B231" i="71"/>
  <c r="Q230" i="71"/>
  <c r="P230" i="71"/>
  <c r="C230" i="71"/>
  <c r="B230" i="71"/>
  <c r="Q229" i="71"/>
  <c r="P229" i="71"/>
  <c r="C229" i="71"/>
  <c r="B229" i="71"/>
  <c r="Q228" i="71"/>
  <c r="P228" i="71"/>
  <c r="C228" i="71"/>
  <c r="B228" i="71"/>
  <c r="Q227" i="71"/>
  <c r="P227" i="71"/>
  <c r="C227" i="71"/>
  <c r="B227" i="71"/>
  <c r="Q226" i="71"/>
  <c r="P226" i="71"/>
  <c r="C226" i="71"/>
  <c r="B226" i="71"/>
  <c r="Q225" i="71"/>
  <c r="P225" i="71"/>
  <c r="C225" i="71"/>
  <c r="B225" i="71"/>
  <c r="Q224" i="71"/>
  <c r="P224" i="71"/>
  <c r="C224" i="71"/>
  <c r="B224" i="71"/>
  <c r="Q223" i="71"/>
  <c r="P223" i="71"/>
  <c r="C223" i="71"/>
  <c r="B223" i="71"/>
  <c r="Q222" i="71"/>
  <c r="P222" i="71"/>
  <c r="C222" i="71"/>
  <c r="B222" i="71"/>
  <c r="Q221" i="71"/>
  <c r="P221" i="71"/>
  <c r="C221" i="71"/>
  <c r="B221" i="71"/>
  <c r="Q220" i="71"/>
  <c r="P220" i="71"/>
  <c r="C220" i="71"/>
  <c r="B220" i="71"/>
  <c r="Q219" i="71"/>
  <c r="P219" i="71"/>
  <c r="C219" i="71"/>
  <c r="B219" i="71"/>
  <c r="Q218" i="71"/>
  <c r="P218" i="71"/>
  <c r="C218" i="71"/>
  <c r="B218" i="71"/>
  <c r="Q217" i="71"/>
  <c r="P217" i="71"/>
  <c r="C217" i="71"/>
  <c r="B217" i="71"/>
  <c r="Q216" i="71"/>
  <c r="P216" i="71"/>
  <c r="C216" i="71"/>
  <c r="B216" i="71"/>
  <c r="Q215" i="71"/>
  <c r="P215" i="71"/>
  <c r="C215" i="71"/>
  <c r="B215" i="71"/>
  <c r="Q214" i="71"/>
  <c r="P214" i="71"/>
  <c r="C214" i="71"/>
  <c r="B214" i="71"/>
  <c r="Q213" i="71"/>
  <c r="P213" i="71"/>
  <c r="C213" i="71"/>
  <c r="B213" i="71"/>
  <c r="Q212" i="71"/>
  <c r="P212" i="71"/>
  <c r="C212" i="71"/>
  <c r="B212" i="71"/>
  <c r="Q211" i="71"/>
  <c r="P211" i="71"/>
  <c r="C211" i="71"/>
  <c r="B211" i="71"/>
  <c r="Q210" i="71"/>
  <c r="P210" i="71"/>
  <c r="C210" i="71"/>
  <c r="B210" i="71"/>
  <c r="Q209" i="71"/>
  <c r="P209" i="71"/>
  <c r="C209" i="71"/>
  <c r="B209" i="71"/>
  <c r="Q208" i="71"/>
  <c r="P208" i="71"/>
  <c r="C208" i="71"/>
  <c r="B208" i="71"/>
  <c r="Q207" i="71"/>
  <c r="P207" i="71"/>
  <c r="C207" i="71"/>
  <c r="B207" i="71"/>
  <c r="Q206" i="71"/>
  <c r="P206" i="71"/>
  <c r="C206" i="71"/>
  <c r="B206" i="71"/>
  <c r="Q205" i="71"/>
  <c r="P205" i="71"/>
  <c r="C205" i="71"/>
  <c r="B205" i="71"/>
  <c r="Q204" i="71"/>
  <c r="P204" i="71"/>
  <c r="C204" i="71"/>
  <c r="B204" i="71"/>
  <c r="Q202" i="71"/>
  <c r="P202" i="71"/>
  <c r="C202" i="71"/>
  <c r="B202" i="71"/>
  <c r="Q201" i="71"/>
  <c r="P201" i="71"/>
  <c r="C201" i="71"/>
  <c r="B201" i="71"/>
  <c r="Q200" i="71"/>
  <c r="P200" i="71"/>
  <c r="C200" i="71"/>
  <c r="B200" i="71"/>
  <c r="Q198" i="71"/>
  <c r="P198" i="71"/>
  <c r="C198" i="71"/>
  <c r="B198" i="71"/>
  <c r="Q197" i="71"/>
  <c r="P197" i="71"/>
  <c r="P256" i="71" s="1"/>
  <c r="C197" i="71"/>
  <c r="B197" i="71"/>
  <c r="N192" i="71"/>
  <c r="M192" i="71"/>
  <c r="L192" i="71"/>
  <c r="K192" i="71"/>
  <c r="J192" i="71"/>
  <c r="I192" i="71"/>
  <c r="H192" i="71"/>
  <c r="G192" i="71"/>
  <c r="F192" i="71"/>
  <c r="E192" i="71"/>
  <c r="D192" i="71"/>
  <c r="Q191" i="71"/>
  <c r="P191" i="71"/>
  <c r="C191" i="71"/>
  <c r="B191" i="71"/>
  <c r="Q190" i="71"/>
  <c r="P190" i="71"/>
  <c r="C190" i="71"/>
  <c r="B190" i="71"/>
  <c r="Q189" i="71"/>
  <c r="P189" i="71"/>
  <c r="C189" i="71"/>
  <c r="B189" i="71"/>
  <c r="Q188" i="71"/>
  <c r="P188" i="71"/>
  <c r="C188" i="71"/>
  <c r="B188" i="71"/>
  <c r="Q187" i="71"/>
  <c r="P187" i="71"/>
  <c r="C187" i="71"/>
  <c r="B187" i="71"/>
  <c r="Q186" i="71"/>
  <c r="P186" i="71"/>
  <c r="C186" i="71"/>
  <c r="B186" i="71"/>
  <c r="Q185" i="71"/>
  <c r="P185" i="71"/>
  <c r="C185" i="71"/>
  <c r="B185" i="71"/>
  <c r="Q184" i="71"/>
  <c r="P184" i="71"/>
  <c r="C184" i="71"/>
  <c r="B184" i="71"/>
  <c r="Q183" i="71"/>
  <c r="P183" i="71"/>
  <c r="C183" i="71"/>
  <c r="B183" i="71"/>
  <c r="Q182" i="71"/>
  <c r="P182" i="71"/>
  <c r="C182" i="71"/>
  <c r="B182" i="71"/>
  <c r="Q181" i="71"/>
  <c r="P181" i="71"/>
  <c r="C181" i="71"/>
  <c r="B181" i="71"/>
  <c r="Q180" i="71"/>
  <c r="P180" i="71"/>
  <c r="C180" i="71"/>
  <c r="B180" i="71"/>
  <c r="Q179" i="71"/>
  <c r="P179" i="71"/>
  <c r="C179" i="71"/>
  <c r="B179" i="71"/>
  <c r="Q178" i="71"/>
  <c r="P178" i="71"/>
  <c r="C178" i="71"/>
  <c r="B178" i="71"/>
  <c r="Q177" i="71"/>
  <c r="P177" i="71"/>
  <c r="C177" i="71"/>
  <c r="B177" i="71"/>
  <c r="Q176" i="71"/>
  <c r="P176" i="71"/>
  <c r="C176" i="71"/>
  <c r="B176" i="71"/>
  <c r="Q175" i="71"/>
  <c r="P175" i="71"/>
  <c r="C175" i="71"/>
  <c r="B175" i="71"/>
  <c r="Q174" i="71"/>
  <c r="P174" i="71"/>
  <c r="C174" i="71"/>
  <c r="B174" i="71"/>
  <c r="Q173" i="71"/>
  <c r="P173" i="71"/>
  <c r="C173" i="71"/>
  <c r="B173" i="71"/>
  <c r="Q172" i="71"/>
  <c r="P172" i="71"/>
  <c r="C172" i="71"/>
  <c r="B172" i="71"/>
  <c r="Q171" i="71"/>
  <c r="P171" i="71"/>
  <c r="C171" i="71"/>
  <c r="B171" i="71"/>
  <c r="Q170" i="71"/>
  <c r="P170" i="71"/>
  <c r="C170" i="71"/>
  <c r="B170" i="71"/>
  <c r="Q169" i="71"/>
  <c r="P169" i="71"/>
  <c r="C169" i="71"/>
  <c r="B169" i="71"/>
  <c r="Q168" i="71"/>
  <c r="P168" i="71"/>
  <c r="C168" i="71"/>
  <c r="B168" i="71"/>
  <c r="Q167" i="71"/>
  <c r="P167" i="71"/>
  <c r="C167" i="71"/>
  <c r="B167" i="71"/>
  <c r="Q166" i="71"/>
  <c r="P166" i="71"/>
  <c r="C166" i="71"/>
  <c r="B166" i="71"/>
  <c r="Q165" i="71"/>
  <c r="P165" i="71"/>
  <c r="C165" i="71"/>
  <c r="B165" i="71"/>
  <c r="Q164" i="71"/>
  <c r="P164" i="71"/>
  <c r="C164" i="71"/>
  <c r="B164" i="71"/>
  <c r="Q163" i="71"/>
  <c r="P163" i="71"/>
  <c r="C163" i="71"/>
  <c r="B163" i="71"/>
  <c r="Q162" i="71"/>
  <c r="P162" i="71"/>
  <c r="C162" i="71"/>
  <c r="B162" i="71"/>
  <c r="Q161" i="71"/>
  <c r="P161" i="71"/>
  <c r="C161" i="71"/>
  <c r="B161" i="71"/>
  <c r="Q160" i="71"/>
  <c r="P160" i="71"/>
  <c r="C160" i="71"/>
  <c r="B160" i="71"/>
  <c r="Q159" i="71"/>
  <c r="P159" i="71"/>
  <c r="C159" i="71"/>
  <c r="B159" i="71"/>
  <c r="Q158" i="71"/>
  <c r="P158" i="71"/>
  <c r="C158" i="71"/>
  <c r="B158" i="71"/>
  <c r="Q157" i="71"/>
  <c r="P157" i="71"/>
  <c r="C157" i="71"/>
  <c r="B157" i="71"/>
  <c r="Q156" i="71"/>
  <c r="P156" i="71"/>
  <c r="C156" i="71"/>
  <c r="B156" i="71"/>
  <c r="Q155" i="71"/>
  <c r="P155" i="71"/>
  <c r="C155" i="71"/>
  <c r="B155" i="71"/>
  <c r="Q154" i="71"/>
  <c r="P154" i="71"/>
  <c r="C154" i="71"/>
  <c r="B154" i="71"/>
  <c r="Q153" i="71"/>
  <c r="P153" i="71"/>
  <c r="C153" i="71"/>
  <c r="B153" i="71"/>
  <c r="Q152" i="71"/>
  <c r="P152" i="71"/>
  <c r="C152" i="71"/>
  <c r="B152" i="71"/>
  <c r="Q151" i="71"/>
  <c r="P151" i="71"/>
  <c r="C151" i="71"/>
  <c r="B151" i="71"/>
  <c r="Q150" i="71"/>
  <c r="P150" i="71"/>
  <c r="C150" i="71"/>
  <c r="B150" i="71"/>
  <c r="Q149" i="71"/>
  <c r="P149" i="71"/>
  <c r="C149" i="71"/>
  <c r="B149" i="71"/>
  <c r="Q148" i="71"/>
  <c r="P148" i="71"/>
  <c r="C148" i="71"/>
  <c r="B148" i="71"/>
  <c r="Q147" i="71"/>
  <c r="P147" i="71"/>
  <c r="C147" i="71"/>
  <c r="B147" i="71"/>
  <c r="Q146" i="71"/>
  <c r="P146" i="71"/>
  <c r="C146" i="71"/>
  <c r="B146" i="71"/>
  <c r="Q145" i="71"/>
  <c r="P145" i="71"/>
  <c r="C145" i="71"/>
  <c r="B145" i="71"/>
  <c r="Q144" i="71"/>
  <c r="P144" i="71"/>
  <c r="C144" i="71"/>
  <c r="B144" i="71"/>
  <c r="Q143" i="71"/>
  <c r="P143" i="71"/>
  <c r="C143" i="71"/>
  <c r="B143" i="71"/>
  <c r="Q142" i="71"/>
  <c r="P142" i="71"/>
  <c r="C142" i="71"/>
  <c r="B142" i="71"/>
  <c r="Q141" i="71"/>
  <c r="P141" i="71"/>
  <c r="C141" i="71"/>
  <c r="B141" i="71"/>
  <c r="Q140" i="71"/>
  <c r="P140" i="71"/>
  <c r="C140" i="71"/>
  <c r="B140" i="71"/>
  <c r="Q138" i="71"/>
  <c r="P138" i="71"/>
  <c r="C138" i="71"/>
  <c r="B138" i="71"/>
  <c r="Q137" i="71"/>
  <c r="P137" i="71"/>
  <c r="C137" i="71"/>
  <c r="B137" i="71"/>
  <c r="Q136" i="71"/>
  <c r="P136" i="71"/>
  <c r="C136" i="71"/>
  <c r="B136" i="71"/>
  <c r="Q134" i="71"/>
  <c r="P134" i="71"/>
  <c r="C134" i="71"/>
  <c r="B134" i="71"/>
  <c r="Q133" i="71"/>
  <c r="P133" i="71"/>
  <c r="C133" i="71"/>
  <c r="B133" i="71"/>
  <c r="N128" i="71"/>
  <c r="M128" i="71"/>
  <c r="L128" i="71"/>
  <c r="K128" i="71"/>
  <c r="J128" i="71"/>
  <c r="I128" i="71"/>
  <c r="H128" i="71"/>
  <c r="G128" i="71"/>
  <c r="F128" i="71"/>
  <c r="E128" i="71"/>
  <c r="D128" i="71"/>
  <c r="Q127" i="71"/>
  <c r="P127" i="71"/>
  <c r="C127" i="71"/>
  <c r="B127" i="71"/>
  <c r="Q126" i="71"/>
  <c r="P126" i="71"/>
  <c r="C126" i="71"/>
  <c r="B126" i="71"/>
  <c r="Q125" i="71"/>
  <c r="P125" i="71"/>
  <c r="C125" i="71"/>
  <c r="B125" i="71"/>
  <c r="Q124" i="71"/>
  <c r="P124" i="71"/>
  <c r="C124" i="71"/>
  <c r="B124" i="71"/>
  <c r="Q123" i="71"/>
  <c r="P123" i="71"/>
  <c r="C123" i="71"/>
  <c r="B123" i="71"/>
  <c r="Q122" i="71"/>
  <c r="P122" i="71"/>
  <c r="C122" i="71"/>
  <c r="B122" i="71"/>
  <c r="Q121" i="71"/>
  <c r="P121" i="71"/>
  <c r="C121" i="71"/>
  <c r="B121" i="71"/>
  <c r="Q120" i="71"/>
  <c r="P120" i="71"/>
  <c r="C120" i="71"/>
  <c r="B120" i="71"/>
  <c r="Q119" i="71"/>
  <c r="P119" i="71"/>
  <c r="C119" i="71"/>
  <c r="B119" i="71"/>
  <c r="Q118" i="71"/>
  <c r="P118" i="71"/>
  <c r="C118" i="71"/>
  <c r="B118" i="71"/>
  <c r="Q117" i="71"/>
  <c r="P117" i="71"/>
  <c r="C117" i="71"/>
  <c r="B117" i="71"/>
  <c r="Q116" i="71"/>
  <c r="P116" i="71"/>
  <c r="C116" i="71"/>
  <c r="B116" i="71"/>
  <c r="Q115" i="71"/>
  <c r="P115" i="71"/>
  <c r="C115" i="71"/>
  <c r="B115" i="71"/>
  <c r="Q114" i="71"/>
  <c r="P114" i="71"/>
  <c r="C114" i="71"/>
  <c r="B114" i="71"/>
  <c r="Q113" i="71"/>
  <c r="P113" i="71"/>
  <c r="C113" i="71"/>
  <c r="B113" i="71"/>
  <c r="Q112" i="71"/>
  <c r="P112" i="71"/>
  <c r="C112" i="71"/>
  <c r="B112" i="71"/>
  <c r="Q111" i="71"/>
  <c r="P111" i="71"/>
  <c r="C111" i="71"/>
  <c r="B111" i="71"/>
  <c r="Q110" i="71"/>
  <c r="P110" i="71"/>
  <c r="C110" i="71"/>
  <c r="B110" i="71"/>
  <c r="Q109" i="71"/>
  <c r="P109" i="71"/>
  <c r="C109" i="71"/>
  <c r="B109" i="71"/>
  <c r="Q108" i="71"/>
  <c r="P108" i="71"/>
  <c r="C108" i="71"/>
  <c r="B108" i="71"/>
  <c r="Q107" i="71"/>
  <c r="P107" i="71"/>
  <c r="C107" i="71"/>
  <c r="B107" i="71"/>
  <c r="Q106" i="71"/>
  <c r="P106" i="71"/>
  <c r="C106" i="71"/>
  <c r="B106" i="71"/>
  <c r="Q105" i="71"/>
  <c r="P105" i="71"/>
  <c r="C105" i="71"/>
  <c r="B105" i="71"/>
  <c r="Q104" i="71"/>
  <c r="P104" i="71"/>
  <c r="C104" i="71"/>
  <c r="B104" i="71"/>
  <c r="Q103" i="71"/>
  <c r="P103" i="71"/>
  <c r="C103" i="71"/>
  <c r="B103" i="71"/>
  <c r="Q102" i="71"/>
  <c r="P102" i="71"/>
  <c r="C102" i="71"/>
  <c r="B102" i="71"/>
  <c r="Q101" i="71"/>
  <c r="P101" i="71"/>
  <c r="C101" i="71"/>
  <c r="B101" i="71"/>
  <c r="Q100" i="71"/>
  <c r="P100" i="71"/>
  <c r="C100" i="71"/>
  <c r="B100" i="71"/>
  <c r="Q99" i="71"/>
  <c r="P99" i="71"/>
  <c r="C99" i="71"/>
  <c r="B99" i="71"/>
  <c r="Q98" i="71"/>
  <c r="P98" i="71"/>
  <c r="C98" i="71"/>
  <c r="B98" i="71"/>
  <c r="Q97" i="71"/>
  <c r="P97" i="71"/>
  <c r="C97" i="71"/>
  <c r="B97" i="71"/>
  <c r="Q96" i="71"/>
  <c r="P96" i="71"/>
  <c r="C96" i="71"/>
  <c r="B96" i="71"/>
  <c r="Q95" i="71"/>
  <c r="P95" i="71"/>
  <c r="C95" i="71"/>
  <c r="B95" i="71"/>
  <c r="Q94" i="71"/>
  <c r="P94" i="71"/>
  <c r="C94" i="71"/>
  <c r="B94" i="71"/>
  <c r="Q93" i="71"/>
  <c r="P93" i="71"/>
  <c r="C93" i="71"/>
  <c r="B93" i="71"/>
  <c r="Q92" i="71"/>
  <c r="P92" i="71"/>
  <c r="C92" i="71"/>
  <c r="B92" i="71"/>
  <c r="Q91" i="71"/>
  <c r="P91" i="71"/>
  <c r="C91" i="71"/>
  <c r="B91" i="71"/>
  <c r="Q90" i="71"/>
  <c r="P90" i="71"/>
  <c r="C90" i="71"/>
  <c r="B90" i="71"/>
  <c r="Q89" i="71"/>
  <c r="P89" i="71"/>
  <c r="C89" i="71"/>
  <c r="B89" i="71"/>
  <c r="Q88" i="71"/>
  <c r="P88" i="71"/>
  <c r="C88" i="71"/>
  <c r="B88" i="71"/>
  <c r="Q87" i="71"/>
  <c r="P87" i="71"/>
  <c r="C87" i="71"/>
  <c r="B87" i="71"/>
  <c r="Q86" i="71"/>
  <c r="P86" i="71"/>
  <c r="C86" i="71"/>
  <c r="B86" i="71"/>
  <c r="Q85" i="71"/>
  <c r="P85" i="71"/>
  <c r="C85" i="71"/>
  <c r="B85" i="71"/>
  <c r="Q84" i="71"/>
  <c r="P84" i="71"/>
  <c r="C84" i="71"/>
  <c r="B84" i="71"/>
  <c r="Q83" i="71"/>
  <c r="P83" i="71"/>
  <c r="C83" i="71"/>
  <c r="B83" i="71"/>
  <c r="Q82" i="71"/>
  <c r="P82" i="71"/>
  <c r="C82" i="71"/>
  <c r="B82" i="71"/>
  <c r="Q81" i="71"/>
  <c r="P81" i="71"/>
  <c r="C81" i="71"/>
  <c r="B81" i="71"/>
  <c r="Q80" i="71"/>
  <c r="P80" i="71"/>
  <c r="C80" i="71"/>
  <c r="B80" i="71"/>
  <c r="Q79" i="71"/>
  <c r="P79" i="71"/>
  <c r="C79" i="71"/>
  <c r="B79" i="71"/>
  <c r="Q78" i="71"/>
  <c r="P78" i="71"/>
  <c r="C78" i="71"/>
  <c r="B78" i="71"/>
  <c r="Q77" i="71"/>
  <c r="P77" i="71"/>
  <c r="C77" i="71"/>
  <c r="B77" i="71"/>
  <c r="Q76" i="71"/>
  <c r="P76" i="71"/>
  <c r="C76" i="71"/>
  <c r="B76" i="71"/>
  <c r="Q74" i="71"/>
  <c r="P74" i="71"/>
  <c r="C74" i="71"/>
  <c r="B74" i="71"/>
  <c r="Q73" i="71"/>
  <c r="P73" i="71"/>
  <c r="C73" i="71"/>
  <c r="B73" i="71"/>
  <c r="Q72" i="71"/>
  <c r="P72" i="71"/>
  <c r="C72" i="71"/>
  <c r="B72" i="71"/>
  <c r="Q70" i="71"/>
  <c r="P70" i="71"/>
  <c r="C70" i="71"/>
  <c r="B70" i="71"/>
  <c r="Q69" i="71"/>
  <c r="P69" i="71"/>
  <c r="C69" i="71"/>
  <c r="B69" i="71"/>
  <c r="N64" i="71"/>
  <c r="M64" i="71"/>
  <c r="L64" i="71"/>
  <c r="K64" i="71"/>
  <c r="J64" i="71"/>
  <c r="I64" i="71"/>
  <c r="H64" i="71"/>
  <c r="G64" i="71"/>
  <c r="F64" i="71"/>
  <c r="E64" i="71"/>
  <c r="D64" i="71"/>
  <c r="Q63" i="71"/>
  <c r="P63" i="71"/>
  <c r="C63" i="71"/>
  <c r="B63" i="71"/>
  <c r="Q62" i="71"/>
  <c r="P62" i="71"/>
  <c r="C62" i="71"/>
  <c r="B62" i="71"/>
  <c r="Q61" i="71"/>
  <c r="P61" i="71"/>
  <c r="C61" i="71"/>
  <c r="B61" i="71"/>
  <c r="Q60" i="71"/>
  <c r="P60" i="71"/>
  <c r="C60" i="71"/>
  <c r="B60" i="71"/>
  <c r="Q59" i="71"/>
  <c r="P59" i="71"/>
  <c r="C59" i="71"/>
  <c r="B59" i="71"/>
  <c r="Q58" i="71"/>
  <c r="P58" i="71"/>
  <c r="C58" i="71"/>
  <c r="B58" i="71"/>
  <c r="Q57" i="71"/>
  <c r="P57" i="71"/>
  <c r="C57" i="71"/>
  <c r="B57" i="71"/>
  <c r="Q56" i="71"/>
  <c r="P56" i="71"/>
  <c r="C56" i="71"/>
  <c r="B56" i="71"/>
  <c r="Q55" i="71"/>
  <c r="P55" i="71"/>
  <c r="C55" i="71"/>
  <c r="B55" i="71"/>
  <c r="Q54" i="71"/>
  <c r="P54" i="71"/>
  <c r="C54" i="71"/>
  <c r="B54" i="71"/>
  <c r="Q53" i="71"/>
  <c r="P53" i="71"/>
  <c r="C53" i="71"/>
  <c r="B53" i="71"/>
  <c r="Q52" i="71"/>
  <c r="P52" i="71"/>
  <c r="C52" i="71"/>
  <c r="B52" i="71"/>
  <c r="Q51" i="71"/>
  <c r="P51" i="71"/>
  <c r="C51" i="71"/>
  <c r="B51" i="71"/>
  <c r="Q50" i="71"/>
  <c r="P50" i="71"/>
  <c r="C50" i="71"/>
  <c r="B50" i="71"/>
  <c r="Q49" i="71"/>
  <c r="P49" i="71"/>
  <c r="C49" i="71"/>
  <c r="B49" i="71"/>
  <c r="Q48" i="71"/>
  <c r="P48" i="71"/>
  <c r="C48" i="71"/>
  <c r="B48" i="71"/>
  <c r="Q47" i="71"/>
  <c r="P47" i="71"/>
  <c r="C47" i="71"/>
  <c r="B47" i="71"/>
  <c r="Q46" i="71"/>
  <c r="P46" i="71"/>
  <c r="C46" i="71"/>
  <c r="B46" i="71"/>
  <c r="Q45" i="71"/>
  <c r="P45" i="71"/>
  <c r="C45" i="71"/>
  <c r="B45" i="71"/>
  <c r="Q44" i="71"/>
  <c r="P44" i="71"/>
  <c r="C44" i="71"/>
  <c r="B44" i="71"/>
  <c r="Q43" i="71"/>
  <c r="P43" i="71"/>
  <c r="C43" i="71"/>
  <c r="B43" i="71"/>
  <c r="Q42" i="71"/>
  <c r="P42" i="71"/>
  <c r="C42" i="71"/>
  <c r="B42" i="71"/>
  <c r="Q41" i="71"/>
  <c r="P41" i="71"/>
  <c r="C41" i="71"/>
  <c r="B41" i="71"/>
  <c r="Q40" i="71"/>
  <c r="P40" i="71"/>
  <c r="C40" i="71"/>
  <c r="B40" i="71"/>
  <c r="Q39" i="71"/>
  <c r="P39" i="71"/>
  <c r="C39" i="71"/>
  <c r="B39" i="71"/>
  <c r="Q38" i="71"/>
  <c r="P38" i="71"/>
  <c r="C38" i="71"/>
  <c r="B38" i="71"/>
  <c r="Q37" i="71"/>
  <c r="P37" i="71"/>
  <c r="C37" i="71"/>
  <c r="B37" i="71"/>
  <c r="Q36" i="71"/>
  <c r="P36" i="71"/>
  <c r="C36" i="71"/>
  <c r="B36" i="71"/>
  <c r="Q35" i="71"/>
  <c r="P35" i="71"/>
  <c r="C35" i="71"/>
  <c r="B35" i="71"/>
  <c r="Q34" i="71"/>
  <c r="P34" i="71"/>
  <c r="C34" i="71"/>
  <c r="B34" i="71"/>
  <c r="Q33" i="71"/>
  <c r="P33" i="71"/>
  <c r="C33" i="71"/>
  <c r="B33" i="71"/>
  <c r="Q32" i="71"/>
  <c r="P32" i="71"/>
  <c r="C32" i="71"/>
  <c r="B32" i="71"/>
  <c r="Q31" i="71"/>
  <c r="P31" i="71"/>
  <c r="C31" i="71"/>
  <c r="B31" i="71"/>
  <c r="Q30" i="71"/>
  <c r="P30" i="71"/>
  <c r="C30" i="71"/>
  <c r="B30" i="71"/>
  <c r="Q29" i="71"/>
  <c r="P29" i="71"/>
  <c r="C29" i="71"/>
  <c r="B29" i="71"/>
  <c r="Q28" i="71"/>
  <c r="P28" i="71"/>
  <c r="C28" i="71"/>
  <c r="B28" i="71"/>
  <c r="Q27" i="71"/>
  <c r="P27" i="71"/>
  <c r="C27" i="71"/>
  <c r="B27" i="71"/>
  <c r="Q26" i="71"/>
  <c r="P26" i="71"/>
  <c r="C26" i="71"/>
  <c r="B26" i="71"/>
  <c r="Q25" i="71"/>
  <c r="P25" i="71"/>
  <c r="C25" i="71"/>
  <c r="B25" i="71"/>
  <c r="Q24" i="71"/>
  <c r="P24" i="71"/>
  <c r="C24" i="71"/>
  <c r="B24" i="71"/>
  <c r="Q23" i="71"/>
  <c r="P23" i="71"/>
  <c r="C23" i="71"/>
  <c r="B23" i="71"/>
  <c r="Q22" i="71"/>
  <c r="P22" i="71"/>
  <c r="C22" i="71"/>
  <c r="B22" i="71"/>
  <c r="Q21" i="71"/>
  <c r="P21" i="71"/>
  <c r="C21" i="71"/>
  <c r="B21" i="71"/>
  <c r="Q20" i="71"/>
  <c r="P20" i="71"/>
  <c r="C20" i="71"/>
  <c r="B20" i="71"/>
  <c r="Q19" i="71"/>
  <c r="P19" i="71"/>
  <c r="C19" i="71"/>
  <c r="B19" i="71"/>
  <c r="Q18" i="71"/>
  <c r="P18" i="71"/>
  <c r="C18" i="71"/>
  <c r="B18" i="71"/>
  <c r="Q17" i="71"/>
  <c r="P17" i="71"/>
  <c r="C17" i="71"/>
  <c r="B17" i="71"/>
  <c r="Q16" i="71"/>
  <c r="P16" i="71"/>
  <c r="C16" i="71"/>
  <c r="B16" i="71"/>
  <c r="Q15" i="71"/>
  <c r="P15" i="71"/>
  <c r="C15" i="71"/>
  <c r="B15" i="71"/>
  <c r="Q14" i="71"/>
  <c r="P14" i="71"/>
  <c r="C14" i="71"/>
  <c r="B14" i="71"/>
  <c r="Q13" i="71"/>
  <c r="P13" i="71"/>
  <c r="C13" i="71"/>
  <c r="B13" i="71"/>
  <c r="Q12" i="71"/>
  <c r="P12" i="71"/>
  <c r="C12" i="71"/>
  <c r="B12" i="71"/>
  <c r="Q10" i="71"/>
  <c r="P10" i="71"/>
  <c r="C10" i="71"/>
  <c r="B10" i="71"/>
  <c r="Q9" i="71"/>
  <c r="P9" i="71"/>
  <c r="C9" i="71"/>
  <c r="B9" i="71"/>
  <c r="Q8" i="71"/>
  <c r="P8" i="71"/>
  <c r="C8" i="71"/>
  <c r="B8" i="71"/>
  <c r="Q6" i="71"/>
  <c r="P6" i="71"/>
  <c r="C6" i="71"/>
  <c r="B6" i="71"/>
  <c r="Q5" i="71"/>
  <c r="P5" i="71"/>
  <c r="P64" i="71" s="1"/>
  <c r="C5" i="71"/>
  <c r="B5" i="71"/>
  <c r="K64" i="70"/>
  <c r="J64" i="70"/>
  <c r="I64" i="70"/>
  <c r="H64" i="70"/>
  <c r="G64" i="70"/>
  <c r="F64" i="70"/>
  <c r="E64" i="70"/>
  <c r="D64" i="70"/>
  <c r="Q63" i="70"/>
  <c r="C63" i="70"/>
  <c r="B63" i="70"/>
  <c r="Q62" i="70"/>
  <c r="C62" i="70"/>
  <c r="B62" i="70"/>
  <c r="Q61" i="70"/>
  <c r="C61" i="70"/>
  <c r="B61" i="70"/>
  <c r="Q60" i="70"/>
  <c r="C60" i="70"/>
  <c r="B60" i="70"/>
  <c r="Q59" i="70"/>
  <c r="C59" i="70"/>
  <c r="B59" i="70"/>
  <c r="Q58" i="70"/>
  <c r="C58" i="70"/>
  <c r="B58" i="70"/>
  <c r="Q57" i="70"/>
  <c r="C57" i="70"/>
  <c r="B57" i="70"/>
  <c r="Q56" i="70"/>
  <c r="C56" i="70"/>
  <c r="B56" i="70"/>
  <c r="Q55" i="70"/>
  <c r="C55" i="70"/>
  <c r="B55" i="70"/>
  <c r="Q54" i="70"/>
  <c r="C54" i="70"/>
  <c r="B54" i="70"/>
  <c r="Q53" i="70"/>
  <c r="C53" i="70"/>
  <c r="B53" i="70"/>
  <c r="Q52" i="70"/>
  <c r="C52" i="70"/>
  <c r="B52" i="70"/>
  <c r="Q51" i="70"/>
  <c r="C51" i="70"/>
  <c r="B51" i="70"/>
  <c r="Q50" i="70"/>
  <c r="C50" i="70"/>
  <c r="B50" i="70"/>
  <c r="Q49" i="70"/>
  <c r="C49" i="70"/>
  <c r="B49" i="70"/>
  <c r="Q48" i="70"/>
  <c r="C48" i="70"/>
  <c r="B48" i="70"/>
  <c r="Q47" i="70"/>
  <c r="C47" i="70"/>
  <c r="B47" i="70"/>
  <c r="Q46" i="70"/>
  <c r="C46" i="70"/>
  <c r="B46" i="70"/>
  <c r="Q45" i="70"/>
  <c r="C45" i="70"/>
  <c r="B45" i="70"/>
  <c r="Q44" i="70"/>
  <c r="C44" i="70"/>
  <c r="B44" i="70"/>
  <c r="Q43" i="70"/>
  <c r="C43" i="70"/>
  <c r="B43" i="70"/>
  <c r="Q42" i="70"/>
  <c r="C42" i="70"/>
  <c r="B42" i="70"/>
  <c r="Q41" i="70"/>
  <c r="C41" i="70"/>
  <c r="B41" i="70"/>
  <c r="Q40" i="70"/>
  <c r="C40" i="70"/>
  <c r="B40" i="70"/>
  <c r="Q39" i="70"/>
  <c r="C39" i="70"/>
  <c r="B39" i="70"/>
  <c r="Q38" i="70"/>
  <c r="C38" i="70"/>
  <c r="B38" i="70"/>
  <c r="Q37" i="70"/>
  <c r="C37" i="70"/>
  <c r="B37" i="70"/>
  <c r="Q36" i="70"/>
  <c r="C36" i="70"/>
  <c r="B36" i="70"/>
  <c r="Q35" i="70"/>
  <c r="C35" i="70"/>
  <c r="B35" i="70"/>
  <c r="Q34" i="70"/>
  <c r="C34" i="70"/>
  <c r="B34" i="70"/>
  <c r="Q33" i="70"/>
  <c r="C33" i="70"/>
  <c r="B33" i="70"/>
  <c r="Q32" i="70"/>
  <c r="C32" i="70"/>
  <c r="B32" i="70"/>
  <c r="Q31" i="70"/>
  <c r="C31" i="70"/>
  <c r="B31" i="70"/>
  <c r="Q30" i="70"/>
  <c r="C30" i="70"/>
  <c r="B30" i="70"/>
  <c r="Q29" i="70"/>
  <c r="C29" i="70"/>
  <c r="B29" i="70"/>
  <c r="Q28" i="70"/>
  <c r="C28" i="70"/>
  <c r="B28" i="70"/>
  <c r="Q27" i="70"/>
  <c r="C27" i="70"/>
  <c r="B27" i="70"/>
  <c r="Q26" i="70"/>
  <c r="C26" i="70"/>
  <c r="B26" i="70"/>
  <c r="Q25" i="70"/>
  <c r="C25" i="70"/>
  <c r="B25" i="70"/>
  <c r="Q24" i="70"/>
  <c r="C24" i="70"/>
  <c r="B24" i="70"/>
  <c r="Q23" i="70"/>
  <c r="C23" i="70"/>
  <c r="B23" i="70"/>
  <c r="Q22" i="70"/>
  <c r="C22" i="70"/>
  <c r="B22" i="70"/>
  <c r="Q21" i="70"/>
  <c r="C21" i="70"/>
  <c r="B21" i="70"/>
  <c r="Q20" i="70"/>
  <c r="C20" i="70"/>
  <c r="B20" i="70"/>
  <c r="Q19" i="70"/>
  <c r="C19" i="70"/>
  <c r="B19" i="70"/>
  <c r="Q18" i="70"/>
  <c r="C18" i="70"/>
  <c r="B18" i="70"/>
  <c r="Q17" i="70"/>
  <c r="C17" i="70"/>
  <c r="B17" i="70"/>
  <c r="Q16" i="70"/>
  <c r="C16" i="70"/>
  <c r="B16" i="70"/>
  <c r="Q15" i="70"/>
  <c r="C15" i="70"/>
  <c r="B15" i="70"/>
  <c r="Q14" i="70"/>
  <c r="C14" i="70"/>
  <c r="B14" i="70"/>
  <c r="Q13" i="70"/>
  <c r="C13" i="70"/>
  <c r="B13" i="70"/>
  <c r="Q12" i="70"/>
  <c r="C12" i="70"/>
  <c r="B12" i="70"/>
  <c r="Q10" i="70"/>
  <c r="C10" i="70"/>
  <c r="B10" i="70"/>
  <c r="Q9" i="70"/>
  <c r="C9" i="70"/>
  <c r="B9" i="70"/>
  <c r="Q8" i="70"/>
  <c r="C8" i="70"/>
  <c r="B8" i="70"/>
  <c r="Q6" i="70"/>
  <c r="C6" i="70"/>
  <c r="B6" i="70"/>
  <c r="Q5" i="70"/>
  <c r="P64" i="70"/>
  <c r="C5" i="70"/>
  <c r="B5" i="70"/>
  <c r="B6" i="69"/>
  <c r="O6" i="69"/>
  <c r="O10" i="69" s="1"/>
  <c r="B7" i="69"/>
  <c r="O7" i="69"/>
  <c r="B8" i="69"/>
  <c r="O8" i="69"/>
  <c r="B9" i="69"/>
  <c r="O9" i="69"/>
  <c r="B13" i="69"/>
  <c r="O13" i="69"/>
  <c r="B14" i="69"/>
  <c r="O14" i="69"/>
  <c r="B15" i="69"/>
  <c r="O15" i="69"/>
  <c r="B16" i="69"/>
  <c r="O16" i="69"/>
  <c r="B17" i="69"/>
  <c r="O17" i="69"/>
  <c r="B18" i="69"/>
  <c r="O18" i="69"/>
  <c r="B19" i="69"/>
  <c r="O19" i="69"/>
  <c r="B20" i="69"/>
  <c r="O20" i="69"/>
  <c r="B21" i="69"/>
  <c r="O21" i="69"/>
  <c r="C22" i="69"/>
  <c r="D22" i="69"/>
  <c r="E22" i="69"/>
  <c r="F22" i="69"/>
  <c r="G22" i="69"/>
  <c r="H22" i="69"/>
  <c r="I22" i="69"/>
  <c r="J22" i="69"/>
  <c r="K22" i="69"/>
  <c r="L22" i="69"/>
  <c r="M22" i="69"/>
  <c r="B25" i="69"/>
  <c r="O25" i="69"/>
  <c r="B26" i="69"/>
  <c r="O26" i="69"/>
  <c r="B27" i="69"/>
  <c r="O27" i="69"/>
  <c r="B28" i="69"/>
  <c r="O28" i="69"/>
  <c r="B29" i="69"/>
  <c r="O29" i="69"/>
  <c r="B30" i="69"/>
  <c r="O30" i="69"/>
  <c r="B34" i="69"/>
  <c r="O34" i="69"/>
  <c r="B35" i="69"/>
  <c r="O35" i="69"/>
  <c r="B36" i="69"/>
  <c r="O36" i="69"/>
  <c r="B37" i="69"/>
  <c r="O37" i="69"/>
  <c r="B38" i="69"/>
  <c r="O38" i="69"/>
  <c r="O39" i="69"/>
  <c r="B42" i="69"/>
  <c r="O43" i="69"/>
  <c r="C45" i="69"/>
  <c r="D45" i="69"/>
  <c r="E45" i="69"/>
  <c r="F45" i="69"/>
  <c r="G45" i="69"/>
  <c r="H45" i="69"/>
  <c r="I45" i="69"/>
  <c r="J45" i="69"/>
  <c r="K45" i="69"/>
  <c r="L45" i="69"/>
  <c r="M45" i="69"/>
  <c r="G17" i="68"/>
  <c r="F17" i="68"/>
  <c r="E17" i="68"/>
  <c r="D17" i="68"/>
  <c r="C17" i="68"/>
  <c r="O22" i="69" l="1"/>
  <c r="O74" i="60"/>
  <c r="O145" i="60"/>
  <c r="P128" i="71"/>
  <c r="P192" i="71"/>
  <c r="O31" i="69"/>
  <c r="O45" i="69" s="1"/>
  <c r="B46" i="60"/>
  <c r="BE66" i="44" l="1"/>
  <c r="BF66" i="44"/>
  <c r="BG66" i="44"/>
  <c r="BH66" i="44"/>
  <c r="CR66" i="44"/>
  <c r="CS66" i="44"/>
  <c r="CT66" i="44"/>
  <c r="CU66" i="44"/>
  <c r="CV66" i="44"/>
  <c r="EP66" i="44"/>
  <c r="FA66" i="44"/>
  <c r="FB66" i="44"/>
  <c r="FC66" i="44"/>
  <c r="FD66" i="44"/>
  <c r="FE66" i="44"/>
  <c r="BR8" i="44"/>
  <c r="BR39" i="44"/>
  <c r="BR40" i="44"/>
  <c r="BR41" i="44"/>
  <c r="BR42" i="44"/>
  <c r="BR43" i="44"/>
  <c r="BR44" i="44"/>
  <c r="BR45" i="44"/>
  <c r="BR46" i="44"/>
  <c r="BR47" i="44"/>
  <c r="BR48" i="44"/>
  <c r="BR49" i="44"/>
  <c r="BR50" i="44"/>
  <c r="BR51" i="44"/>
  <c r="BR52" i="44"/>
  <c r="BR53" i="44"/>
  <c r="BR54" i="44"/>
  <c r="BR55" i="44"/>
  <c r="BR56" i="44"/>
  <c r="BR57" i="44"/>
  <c r="BR58" i="44"/>
  <c r="BR59" i="44"/>
  <c r="BR60" i="44"/>
  <c r="BR61" i="44"/>
  <c r="BR62" i="44"/>
  <c r="BR63" i="44"/>
  <c r="BR64" i="44"/>
  <c r="BR65" i="44"/>
  <c r="BR7" i="44"/>
  <c r="BQ7" i="44"/>
  <c r="Y65" i="44"/>
  <c r="Y67" i="44"/>
  <c r="BR66" i="44" l="1"/>
  <c r="EM8" i="44"/>
  <c r="EM39" i="44"/>
  <c r="EM40" i="44"/>
  <c r="EM41" i="44"/>
  <c r="EM42" i="44"/>
  <c r="EM43" i="44"/>
  <c r="EM44" i="44"/>
  <c r="EM45" i="44"/>
  <c r="EM46" i="44"/>
  <c r="EM47" i="44"/>
  <c r="EM48" i="44"/>
  <c r="EM49" i="44"/>
  <c r="EM50" i="44"/>
  <c r="EM51" i="44"/>
  <c r="EM52" i="44"/>
  <c r="EM53" i="44"/>
  <c r="EM54" i="44"/>
  <c r="EM55" i="44"/>
  <c r="EM56" i="44"/>
  <c r="EM57" i="44"/>
  <c r="EM58" i="44"/>
  <c r="EM59" i="44"/>
  <c r="EM60" i="44"/>
  <c r="EM61" i="44"/>
  <c r="EM62" i="44"/>
  <c r="EM63" i="44"/>
  <c r="EM64" i="44"/>
  <c r="EM65" i="44"/>
  <c r="EM7" i="44"/>
  <c r="EL7" i="44"/>
  <c r="Y170" i="44"/>
  <c r="Y33" i="44"/>
  <c r="AS7" i="44"/>
  <c r="AS8" i="44"/>
  <c r="AS39" i="44"/>
  <c r="AS40" i="44"/>
  <c r="AS41" i="44"/>
  <c r="AS42" i="44"/>
  <c r="AS43" i="44"/>
  <c r="AS44" i="44"/>
  <c r="AS45" i="44"/>
  <c r="AS46" i="44"/>
  <c r="AS47" i="44"/>
  <c r="AS48" i="44"/>
  <c r="AS49" i="44"/>
  <c r="AS50" i="44"/>
  <c r="AS51" i="44"/>
  <c r="AS52" i="44"/>
  <c r="AS53" i="44"/>
  <c r="AS54" i="44"/>
  <c r="AS55" i="44"/>
  <c r="AS56" i="44"/>
  <c r="AS57" i="44"/>
  <c r="AS58" i="44"/>
  <c r="AS59" i="44"/>
  <c r="AS60" i="44"/>
  <c r="AS61" i="44"/>
  <c r="AS62" i="44"/>
  <c r="AS63" i="44"/>
  <c r="AS64" i="44"/>
  <c r="AS65" i="44"/>
  <c r="AR7" i="44"/>
  <c r="Y30" i="44"/>
  <c r="Q8" i="44" s="1"/>
  <c r="EM66" i="44" l="1"/>
  <c r="AS66" i="44"/>
  <c r="P71" i="59"/>
  <c r="P73" i="59"/>
  <c r="P74" i="59"/>
  <c r="P75" i="59"/>
  <c r="P77" i="59"/>
  <c r="P78" i="59"/>
  <c r="P79" i="59"/>
  <c r="P80" i="59"/>
  <c r="P81" i="59"/>
  <c r="P82" i="59"/>
  <c r="P83" i="59"/>
  <c r="P84" i="59"/>
  <c r="P85" i="59"/>
  <c r="P86" i="59"/>
  <c r="P87" i="59"/>
  <c r="P88" i="59"/>
  <c r="P89" i="59"/>
  <c r="P90" i="59"/>
  <c r="P91" i="59"/>
  <c r="P92" i="59"/>
  <c r="P93" i="59"/>
  <c r="P94" i="59"/>
  <c r="P95" i="59"/>
  <c r="P96" i="59"/>
  <c r="P97" i="59"/>
  <c r="P98" i="59"/>
  <c r="P99" i="59"/>
  <c r="P100" i="59"/>
  <c r="P101" i="59"/>
  <c r="P102" i="59"/>
  <c r="P103" i="59"/>
  <c r="P104" i="59"/>
  <c r="P105" i="59"/>
  <c r="P106" i="59"/>
  <c r="P107" i="59"/>
  <c r="P108" i="59"/>
  <c r="P109" i="59"/>
  <c r="P110" i="59"/>
  <c r="P111" i="59"/>
  <c r="P112" i="59"/>
  <c r="P113" i="59"/>
  <c r="P114" i="59"/>
  <c r="P115" i="59"/>
  <c r="P116" i="59"/>
  <c r="P117" i="59"/>
  <c r="P118" i="59"/>
  <c r="P119" i="59"/>
  <c r="P120" i="59"/>
  <c r="P121" i="59"/>
  <c r="P122" i="59"/>
  <c r="P123" i="59"/>
  <c r="P124" i="59"/>
  <c r="P125" i="59"/>
  <c r="P126" i="59"/>
  <c r="P127" i="59"/>
  <c r="P128" i="59"/>
  <c r="P129" i="59"/>
  <c r="P70" i="59"/>
  <c r="P6" i="59"/>
  <c r="P8" i="59"/>
  <c r="P9" i="59"/>
  <c r="P10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7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4" i="59"/>
  <c r="P5" i="59"/>
  <c r="P5" i="57"/>
  <c r="P68" i="56"/>
  <c r="P69" i="56"/>
  <c r="P70" i="56"/>
  <c r="P71" i="56"/>
  <c r="P72" i="56"/>
  <c r="P73" i="56"/>
  <c r="P74" i="56"/>
  <c r="P75" i="56"/>
  <c r="P76" i="56"/>
  <c r="P77" i="56"/>
  <c r="P78" i="56"/>
  <c r="P79" i="56"/>
  <c r="P80" i="56"/>
  <c r="P81" i="56"/>
  <c r="P82" i="56"/>
  <c r="P83" i="56"/>
  <c r="P84" i="56"/>
  <c r="P85" i="56"/>
  <c r="P86" i="56"/>
  <c r="P87" i="56"/>
  <c r="P88" i="56"/>
  <c r="P89" i="56"/>
  <c r="P90" i="56"/>
  <c r="P91" i="56"/>
  <c r="P92" i="56"/>
  <c r="P93" i="56"/>
  <c r="P94" i="56"/>
  <c r="P95" i="56"/>
  <c r="P96" i="56"/>
  <c r="P97" i="56"/>
  <c r="P98" i="56"/>
  <c r="P99" i="56"/>
  <c r="P100" i="56"/>
  <c r="P101" i="56"/>
  <c r="P102" i="56"/>
  <c r="P103" i="56"/>
  <c r="P104" i="56"/>
  <c r="P105" i="56"/>
  <c r="P106" i="56"/>
  <c r="P107" i="56"/>
  <c r="P108" i="56"/>
  <c r="P109" i="56"/>
  <c r="P110" i="56"/>
  <c r="P111" i="56"/>
  <c r="P112" i="56"/>
  <c r="P113" i="56"/>
  <c r="P114" i="56"/>
  <c r="P115" i="56"/>
  <c r="P116" i="56"/>
  <c r="P117" i="56"/>
  <c r="P118" i="56"/>
  <c r="P119" i="56"/>
  <c r="P120" i="56"/>
  <c r="P121" i="56"/>
  <c r="P122" i="56"/>
  <c r="P123" i="56"/>
  <c r="P67" i="56"/>
  <c r="P6" i="56"/>
  <c r="P7" i="56"/>
  <c r="P8" i="56"/>
  <c r="P9" i="56"/>
  <c r="P10" i="56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36" i="56"/>
  <c r="P37" i="56"/>
  <c r="P38" i="56"/>
  <c r="P39" i="56"/>
  <c r="P40" i="56"/>
  <c r="P41" i="56"/>
  <c r="P42" i="56"/>
  <c r="P43" i="56"/>
  <c r="P44" i="56"/>
  <c r="P45" i="56"/>
  <c r="P46" i="56"/>
  <c r="P47" i="56"/>
  <c r="P48" i="56"/>
  <c r="P49" i="56"/>
  <c r="P50" i="56"/>
  <c r="P51" i="56"/>
  <c r="P52" i="56"/>
  <c r="P53" i="56"/>
  <c r="P54" i="56"/>
  <c r="P55" i="56"/>
  <c r="P56" i="56"/>
  <c r="P57" i="56"/>
  <c r="P58" i="56"/>
  <c r="P59" i="56"/>
  <c r="P60" i="56"/>
  <c r="P61" i="56"/>
  <c r="P5" i="56"/>
  <c r="P5" i="55"/>
  <c r="P324" i="54"/>
  <c r="P265" i="54"/>
  <c r="P259" i="54"/>
  <c r="P200" i="54"/>
  <c r="P194" i="54"/>
  <c r="P135" i="54"/>
  <c r="P70" i="54"/>
  <c r="P64" i="54"/>
  <c r="P5" i="54"/>
  <c r="P70" i="52"/>
  <c r="P64" i="52"/>
  <c r="P5" i="52"/>
  <c r="P69" i="51"/>
  <c r="P5" i="51"/>
  <c r="Y85" i="44"/>
  <c r="AI8" i="44" l="1"/>
  <c r="Y9" i="44"/>
  <c r="K64" i="55" l="1"/>
  <c r="CQ7" i="44"/>
  <c r="K65" i="53"/>
  <c r="K65" i="59"/>
  <c r="K130" i="59"/>
  <c r="B107" i="60"/>
  <c r="K66" i="58"/>
  <c r="K66" i="50"/>
  <c r="B127" i="60"/>
  <c r="B126" i="60"/>
  <c r="B27" i="60"/>
  <c r="Q71" i="59"/>
  <c r="Q73" i="59"/>
  <c r="Q74" i="59"/>
  <c r="Q75" i="59"/>
  <c r="Q77" i="59"/>
  <c r="Q78" i="59"/>
  <c r="Q79" i="59"/>
  <c r="Q80" i="59"/>
  <c r="Q81" i="59"/>
  <c r="Q82" i="59"/>
  <c r="Q83" i="59"/>
  <c r="Q84" i="59"/>
  <c r="Q85" i="59"/>
  <c r="Q86" i="59"/>
  <c r="Q87" i="59"/>
  <c r="Q88" i="59"/>
  <c r="Q89" i="59"/>
  <c r="Q90" i="59"/>
  <c r="Q91" i="59"/>
  <c r="Q92" i="59"/>
  <c r="Q93" i="59"/>
  <c r="Q94" i="59"/>
  <c r="Q95" i="59"/>
  <c r="Q96" i="59"/>
  <c r="Q97" i="59"/>
  <c r="Q98" i="59"/>
  <c r="Q99" i="59"/>
  <c r="Q100" i="59"/>
  <c r="Q101" i="59"/>
  <c r="Q102" i="59"/>
  <c r="Q103" i="59"/>
  <c r="Q104" i="59"/>
  <c r="Q105" i="59"/>
  <c r="Q106" i="59"/>
  <c r="Q107" i="59"/>
  <c r="Q108" i="59"/>
  <c r="Q109" i="59"/>
  <c r="Q110" i="59"/>
  <c r="Q111" i="59"/>
  <c r="Q112" i="59"/>
  <c r="Q113" i="59"/>
  <c r="Q114" i="59"/>
  <c r="Q115" i="59"/>
  <c r="Q116" i="59"/>
  <c r="Q117" i="59"/>
  <c r="Q118" i="59"/>
  <c r="Q119" i="59"/>
  <c r="Q120" i="59"/>
  <c r="Q121" i="59"/>
  <c r="Q122" i="59"/>
  <c r="Q123" i="59"/>
  <c r="Q124" i="59"/>
  <c r="Q125" i="59"/>
  <c r="Q126" i="59"/>
  <c r="Q127" i="59"/>
  <c r="Q128" i="59"/>
  <c r="Q6" i="59"/>
  <c r="Q8" i="59"/>
  <c r="Q9" i="59"/>
  <c r="Q10" i="59"/>
  <c r="Q12" i="59"/>
  <c r="Q13" i="59"/>
  <c r="Q14" i="59"/>
  <c r="Q15" i="59"/>
  <c r="Q16" i="59"/>
  <c r="Q17" i="59"/>
  <c r="Q18" i="59"/>
  <c r="Q19" i="59"/>
  <c r="Q20" i="59"/>
  <c r="Q21" i="59"/>
  <c r="Q22" i="59"/>
  <c r="Q23" i="59"/>
  <c r="Q24" i="59"/>
  <c r="Q25" i="59"/>
  <c r="Q26" i="59"/>
  <c r="Q27" i="59"/>
  <c r="Q28" i="59"/>
  <c r="Q29" i="59"/>
  <c r="Q30" i="59"/>
  <c r="Q31" i="59"/>
  <c r="Q32" i="59"/>
  <c r="Q33" i="59"/>
  <c r="Q34" i="59"/>
  <c r="Q35" i="59"/>
  <c r="Q36" i="59"/>
  <c r="Q37" i="59"/>
  <c r="Q38" i="59"/>
  <c r="Q39" i="59"/>
  <c r="Q40" i="59"/>
  <c r="Q41" i="59"/>
  <c r="Q42" i="59"/>
  <c r="Q43" i="59"/>
  <c r="Q44" i="59"/>
  <c r="Q45" i="59"/>
  <c r="Q46" i="59"/>
  <c r="Q47" i="59"/>
  <c r="Q48" i="59"/>
  <c r="Q49" i="59"/>
  <c r="Q50" i="59"/>
  <c r="Q51" i="59"/>
  <c r="Q52" i="59"/>
  <c r="Q53" i="59"/>
  <c r="Q54" i="59"/>
  <c r="Q55" i="59"/>
  <c r="Q56" i="59"/>
  <c r="Q57" i="59"/>
  <c r="Q58" i="59"/>
  <c r="Q59" i="59"/>
  <c r="Q60" i="59"/>
  <c r="Q61" i="59"/>
  <c r="Q62" i="59"/>
  <c r="Q63" i="59"/>
  <c r="B71" i="59"/>
  <c r="C71" i="59"/>
  <c r="B73" i="59"/>
  <c r="C73" i="59"/>
  <c r="B74" i="59"/>
  <c r="C74" i="59"/>
  <c r="B75" i="59"/>
  <c r="C75" i="59"/>
  <c r="B77" i="59"/>
  <c r="C77" i="59"/>
  <c r="B78" i="59"/>
  <c r="C78" i="59"/>
  <c r="B79" i="59"/>
  <c r="C79" i="59"/>
  <c r="B80" i="59"/>
  <c r="C80" i="59"/>
  <c r="B81" i="59"/>
  <c r="C81" i="59"/>
  <c r="B82" i="59"/>
  <c r="C82" i="59"/>
  <c r="B83" i="59"/>
  <c r="C83" i="59"/>
  <c r="B84" i="59"/>
  <c r="C84" i="59"/>
  <c r="B85" i="59"/>
  <c r="C85" i="59"/>
  <c r="B86" i="59"/>
  <c r="C86" i="59"/>
  <c r="B87" i="59"/>
  <c r="C87" i="59"/>
  <c r="B88" i="59"/>
  <c r="C88" i="59"/>
  <c r="B89" i="59"/>
  <c r="C89" i="59"/>
  <c r="B90" i="59"/>
  <c r="C90" i="59"/>
  <c r="B91" i="59"/>
  <c r="C91" i="59"/>
  <c r="B92" i="59"/>
  <c r="C92" i="59"/>
  <c r="B93" i="59"/>
  <c r="C93" i="59"/>
  <c r="B94" i="59"/>
  <c r="C94" i="59"/>
  <c r="B95" i="59"/>
  <c r="C95" i="59"/>
  <c r="B96" i="59"/>
  <c r="C96" i="59"/>
  <c r="B97" i="59"/>
  <c r="C97" i="59"/>
  <c r="B98" i="59"/>
  <c r="C98" i="59"/>
  <c r="B99" i="59"/>
  <c r="C99" i="59"/>
  <c r="B100" i="59"/>
  <c r="C100" i="59"/>
  <c r="B101" i="59"/>
  <c r="C101" i="59"/>
  <c r="B102" i="59"/>
  <c r="C102" i="59"/>
  <c r="B103" i="59"/>
  <c r="C103" i="59"/>
  <c r="B104" i="59"/>
  <c r="C104" i="59"/>
  <c r="B105" i="59"/>
  <c r="C105" i="59"/>
  <c r="B106" i="59"/>
  <c r="C106" i="59"/>
  <c r="B107" i="59"/>
  <c r="C107" i="59"/>
  <c r="B108" i="59"/>
  <c r="C108" i="59"/>
  <c r="B109" i="59"/>
  <c r="C109" i="59"/>
  <c r="B110" i="59"/>
  <c r="C110" i="59"/>
  <c r="B111" i="59"/>
  <c r="C111" i="59"/>
  <c r="B112" i="59"/>
  <c r="C112" i="59"/>
  <c r="B113" i="59"/>
  <c r="C113" i="59"/>
  <c r="B114" i="59"/>
  <c r="C114" i="59"/>
  <c r="B115" i="59"/>
  <c r="C115" i="59"/>
  <c r="B116" i="59"/>
  <c r="C116" i="59"/>
  <c r="B117" i="59"/>
  <c r="C117" i="59"/>
  <c r="B118" i="59"/>
  <c r="C118" i="59"/>
  <c r="B119" i="59"/>
  <c r="C119" i="59"/>
  <c r="B120" i="59"/>
  <c r="C120" i="59"/>
  <c r="B121" i="59"/>
  <c r="C121" i="59"/>
  <c r="B122" i="59"/>
  <c r="C122" i="59"/>
  <c r="B123" i="59"/>
  <c r="C123" i="59"/>
  <c r="B124" i="59"/>
  <c r="C124" i="59"/>
  <c r="B125" i="59"/>
  <c r="C125" i="59"/>
  <c r="B126" i="59"/>
  <c r="C126" i="59"/>
  <c r="B127" i="59"/>
  <c r="C127" i="59"/>
  <c r="B128" i="59"/>
  <c r="C128" i="59"/>
  <c r="B6" i="59"/>
  <c r="C6" i="59"/>
  <c r="B8" i="59"/>
  <c r="C8" i="59"/>
  <c r="B9" i="59"/>
  <c r="C9" i="59"/>
  <c r="B10" i="59"/>
  <c r="C10" i="59"/>
  <c r="B12" i="59"/>
  <c r="C12" i="59"/>
  <c r="B13" i="59"/>
  <c r="C13" i="59"/>
  <c r="B14" i="59"/>
  <c r="C14" i="59"/>
  <c r="B15" i="59"/>
  <c r="C15" i="59"/>
  <c r="B16" i="59"/>
  <c r="C16" i="59"/>
  <c r="B17" i="59"/>
  <c r="C17" i="59"/>
  <c r="B18" i="59"/>
  <c r="C18" i="59"/>
  <c r="B19" i="59"/>
  <c r="C19" i="59"/>
  <c r="B20" i="59"/>
  <c r="C20" i="59"/>
  <c r="B21" i="59"/>
  <c r="C21" i="59"/>
  <c r="B22" i="59"/>
  <c r="C22" i="59"/>
  <c r="B23" i="59"/>
  <c r="C23" i="59"/>
  <c r="B24" i="59"/>
  <c r="C24" i="59"/>
  <c r="B25" i="59"/>
  <c r="C25" i="59"/>
  <c r="B26" i="59"/>
  <c r="C26" i="59"/>
  <c r="B27" i="59"/>
  <c r="C27" i="59"/>
  <c r="B28" i="59"/>
  <c r="C28" i="59"/>
  <c r="B29" i="59"/>
  <c r="C29" i="59"/>
  <c r="B30" i="59"/>
  <c r="C30" i="59"/>
  <c r="B31" i="59"/>
  <c r="C31" i="59"/>
  <c r="B32" i="59"/>
  <c r="C32" i="59"/>
  <c r="B33" i="59"/>
  <c r="C33" i="59"/>
  <c r="B34" i="59"/>
  <c r="C34" i="59"/>
  <c r="B35" i="59"/>
  <c r="C35" i="59"/>
  <c r="B36" i="59"/>
  <c r="C36" i="59"/>
  <c r="B37" i="59"/>
  <c r="C37" i="59"/>
  <c r="B38" i="59"/>
  <c r="C38" i="59"/>
  <c r="B39" i="59"/>
  <c r="C39" i="59"/>
  <c r="B40" i="59"/>
  <c r="C40" i="59"/>
  <c r="B41" i="59"/>
  <c r="C41" i="59"/>
  <c r="B42" i="59"/>
  <c r="C42" i="59"/>
  <c r="B43" i="59"/>
  <c r="C43" i="59"/>
  <c r="B44" i="59"/>
  <c r="C44" i="59"/>
  <c r="B45" i="59"/>
  <c r="C45" i="59"/>
  <c r="B46" i="59"/>
  <c r="C46" i="59"/>
  <c r="B47" i="59"/>
  <c r="C47" i="59"/>
  <c r="B48" i="59"/>
  <c r="C48" i="59"/>
  <c r="B49" i="59"/>
  <c r="C49" i="59"/>
  <c r="B50" i="59"/>
  <c r="C50" i="59"/>
  <c r="B51" i="59"/>
  <c r="C51" i="59"/>
  <c r="B52" i="59"/>
  <c r="C52" i="59"/>
  <c r="B53" i="59"/>
  <c r="C53" i="59"/>
  <c r="B54" i="59"/>
  <c r="C54" i="59"/>
  <c r="B55" i="59"/>
  <c r="C55" i="59"/>
  <c r="B56" i="59"/>
  <c r="C56" i="59"/>
  <c r="B57" i="59"/>
  <c r="C57" i="59"/>
  <c r="B58" i="59"/>
  <c r="C58" i="59"/>
  <c r="B59" i="59"/>
  <c r="C59" i="59"/>
  <c r="B60" i="59"/>
  <c r="C60" i="59"/>
  <c r="B61" i="59"/>
  <c r="C61" i="59"/>
  <c r="B62" i="59"/>
  <c r="C62" i="59"/>
  <c r="B63" i="59"/>
  <c r="C63" i="59"/>
  <c r="Q6" i="58"/>
  <c r="Q8" i="58"/>
  <c r="Q9" i="58"/>
  <c r="Q10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B6" i="58"/>
  <c r="C6" i="58"/>
  <c r="B8" i="58"/>
  <c r="C8" i="58"/>
  <c r="B9" i="58"/>
  <c r="C9" i="58"/>
  <c r="B10" i="58"/>
  <c r="C10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B36" i="58"/>
  <c r="C36" i="58"/>
  <c r="B37" i="58"/>
  <c r="C37" i="58"/>
  <c r="B38" i="58"/>
  <c r="C38" i="58"/>
  <c r="B39" i="58"/>
  <c r="C39" i="58"/>
  <c r="B40" i="58"/>
  <c r="C40" i="58"/>
  <c r="B41" i="58"/>
  <c r="C41" i="58"/>
  <c r="B42" i="58"/>
  <c r="C42" i="58"/>
  <c r="B43" i="58"/>
  <c r="C43" i="58"/>
  <c r="B44" i="58"/>
  <c r="C44" i="58"/>
  <c r="B45" i="58"/>
  <c r="C45" i="58"/>
  <c r="B46" i="58"/>
  <c r="C46" i="58"/>
  <c r="B47" i="58"/>
  <c r="C47" i="58"/>
  <c r="B48" i="58"/>
  <c r="C48" i="58"/>
  <c r="B49" i="58"/>
  <c r="C49" i="58"/>
  <c r="B50" i="58"/>
  <c r="C50" i="58"/>
  <c r="B51" i="58"/>
  <c r="C51" i="58"/>
  <c r="B52" i="58"/>
  <c r="C52" i="58"/>
  <c r="B53" i="58"/>
  <c r="C53" i="58"/>
  <c r="B54" i="58"/>
  <c r="C54" i="58"/>
  <c r="B55" i="58"/>
  <c r="C55" i="58"/>
  <c r="B56" i="58"/>
  <c r="C56" i="58"/>
  <c r="B57" i="58"/>
  <c r="C57" i="58"/>
  <c r="B58" i="58"/>
  <c r="C58" i="58"/>
  <c r="B59" i="58"/>
  <c r="C59" i="58"/>
  <c r="B60" i="58"/>
  <c r="C60" i="58"/>
  <c r="B61" i="58"/>
  <c r="C61" i="58"/>
  <c r="B62" i="58"/>
  <c r="C62" i="58"/>
  <c r="B63" i="58"/>
  <c r="C63" i="58"/>
  <c r="Q6" i="57"/>
  <c r="Q8" i="57"/>
  <c r="Q9" i="57"/>
  <c r="Q10" i="57"/>
  <c r="Q12" i="57"/>
  <c r="Q13" i="57"/>
  <c r="Q14" i="57"/>
  <c r="Q15" i="57"/>
  <c r="Q16" i="57"/>
  <c r="Q17" i="57"/>
  <c r="Q18" i="57"/>
  <c r="Q19" i="57"/>
  <c r="Q20" i="57"/>
  <c r="Q21" i="57"/>
  <c r="Q22" i="57"/>
  <c r="Q23" i="57"/>
  <c r="Q24" i="57"/>
  <c r="Q25" i="57"/>
  <c r="Q26" i="57"/>
  <c r="Q27" i="57"/>
  <c r="Q28" i="57"/>
  <c r="Q29" i="57"/>
  <c r="Q30" i="57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46" i="57"/>
  <c r="Q47" i="57"/>
  <c r="Q48" i="57"/>
  <c r="Q49" i="57"/>
  <c r="Q50" i="57"/>
  <c r="Q51" i="57"/>
  <c r="Q52" i="57"/>
  <c r="Q53" i="57"/>
  <c r="Q54" i="57"/>
  <c r="Q55" i="57"/>
  <c r="Q56" i="57"/>
  <c r="Q57" i="57"/>
  <c r="Q58" i="57"/>
  <c r="Q59" i="57"/>
  <c r="Q60" i="57"/>
  <c r="Q61" i="57"/>
  <c r="Q62" i="57"/>
  <c r="Q63" i="57"/>
  <c r="B6" i="57"/>
  <c r="C6" i="57"/>
  <c r="B8" i="57"/>
  <c r="C8" i="57"/>
  <c r="B9" i="57"/>
  <c r="C9" i="57"/>
  <c r="B10" i="57"/>
  <c r="C10" i="57"/>
  <c r="B12" i="57"/>
  <c r="C12" i="57"/>
  <c r="B13" i="57"/>
  <c r="C13" i="57"/>
  <c r="B14" i="57"/>
  <c r="C14" i="57"/>
  <c r="B15" i="57"/>
  <c r="C15" i="57"/>
  <c r="B16" i="57"/>
  <c r="C16" i="57"/>
  <c r="B17" i="57"/>
  <c r="C17" i="57"/>
  <c r="B18" i="57"/>
  <c r="C18" i="57"/>
  <c r="B19" i="57"/>
  <c r="C19" i="57"/>
  <c r="B20" i="57"/>
  <c r="C20" i="57"/>
  <c r="B21" i="57"/>
  <c r="C21" i="57"/>
  <c r="B22" i="57"/>
  <c r="C22" i="57"/>
  <c r="B23" i="57"/>
  <c r="C23" i="57"/>
  <c r="B24" i="57"/>
  <c r="C24" i="57"/>
  <c r="B25" i="57"/>
  <c r="C25" i="57"/>
  <c r="B26" i="57"/>
  <c r="C26" i="57"/>
  <c r="B27" i="57"/>
  <c r="C27" i="57"/>
  <c r="B28" i="57"/>
  <c r="C28" i="57"/>
  <c r="B29" i="57"/>
  <c r="C29" i="57"/>
  <c r="B30" i="57"/>
  <c r="C30" i="57"/>
  <c r="B31" i="57"/>
  <c r="C31" i="57"/>
  <c r="B32" i="57"/>
  <c r="C32" i="57"/>
  <c r="B33" i="57"/>
  <c r="C33" i="57"/>
  <c r="B34" i="57"/>
  <c r="C34" i="57"/>
  <c r="B35" i="57"/>
  <c r="C35" i="57"/>
  <c r="B36" i="57"/>
  <c r="C36" i="57"/>
  <c r="B37" i="57"/>
  <c r="C37" i="57"/>
  <c r="B38" i="57"/>
  <c r="C38" i="57"/>
  <c r="B39" i="57"/>
  <c r="C39" i="57"/>
  <c r="B40" i="57"/>
  <c r="C40" i="57"/>
  <c r="B41" i="57"/>
  <c r="C41" i="57"/>
  <c r="B42" i="57"/>
  <c r="C42" i="57"/>
  <c r="B43" i="57"/>
  <c r="C43" i="57"/>
  <c r="B44" i="57"/>
  <c r="C44" i="57"/>
  <c r="B45" i="57"/>
  <c r="C45" i="57"/>
  <c r="B46" i="57"/>
  <c r="C46" i="57"/>
  <c r="B47" i="57"/>
  <c r="C47" i="57"/>
  <c r="B48" i="57"/>
  <c r="C48" i="57"/>
  <c r="B49" i="57"/>
  <c r="C49" i="57"/>
  <c r="B50" i="57"/>
  <c r="C50" i="57"/>
  <c r="B51" i="57"/>
  <c r="C51" i="57"/>
  <c r="B52" i="57"/>
  <c r="C52" i="57"/>
  <c r="B53" i="57"/>
  <c r="C53" i="57"/>
  <c r="B54" i="57"/>
  <c r="C54" i="57"/>
  <c r="B55" i="57"/>
  <c r="C55" i="57"/>
  <c r="B56" i="57"/>
  <c r="C56" i="57"/>
  <c r="B57" i="57"/>
  <c r="C57" i="57"/>
  <c r="B58" i="57"/>
  <c r="C58" i="57"/>
  <c r="B59" i="57"/>
  <c r="C59" i="57"/>
  <c r="B60" i="57"/>
  <c r="C60" i="57"/>
  <c r="B61" i="57"/>
  <c r="C61" i="57"/>
  <c r="B62" i="57"/>
  <c r="C62" i="57"/>
  <c r="B63" i="57"/>
  <c r="C63" i="57"/>
  <c r="Q68" i="56"/>
  <c r="Q69" i="56"/>
  <c r="Q70" i="56"/>
  <c r="Q71" i="56"/>
  <c r="Q72" i="56"/>
  <c r="Q73" i="56"/>
  <c r="Q74" i="56"/>
  <c r="Q75" i="56"/>
  <c r="Q76" i="56"/>
  <c r="Q77" i="56"/>
  <c r="Q78" i="56"/>
  <c r="Q79" i="56"/>
  <c r="Q80" i="56"/>
  <c r="Q81" i="56"/>
  <c r="Q82" i="56"/>
  <c r="Q83" i="56"/>
  <c r="Q84" i="56"/>
  <c r="Q85" i="56"/>
  <c r="Q86" i="56"/>
  <c r="Q87" i="56"/>
  <c r="Q88" i="56"/>
  <c r="Q89" i="56"/>
  <c r="Q90" i="56"/>
  <c r="Q91" i="56"/>
  <c r="Q92" i="56"/>
  <c r="Q93" i="56"/>
  <c r="Q94" i="56"/>
  <c r="Q95" i="56"/>
  <c r="Q96" i="56"/>
  <c r="Q97" i="56"/>
  <c r="Q98" i="56"/>
  <c r="Q99" i="56"/>
  <c r="Q100" i="56"/>
  <c r="Q101" i="56"/>
  <c r="Q102" i="56"/>
  <c r="Q103" i="56"/>
  <c r="Q104" i="56"/>
  <c r="Q105" i="56"/>
  <c r="Q106" i="56"/>
  <c r="Q107" i="56"/>
  <c r="Q108" i="56"/>
  <c r="Q109" i="56"/>
  <c r="Q110" i="56"/>
  <c r="Q111" i="56"/>
  <c r="Q112" i="56"/>
  <c r="Q113" i="56"/>
  <c r="Q114" i="56"/>
  <c r="Q115" i="56"/>
  <c r="Q116" i="56"/>
  <c r="Q117" i="56"/>
  <c r="Q118" i="56"/>
  <c r="Q119" i="56"/>
  <c r="Q120" i="56"/>
  <c r="Q121" i="56"/>
  <c r="Q122" i="56"/>
  <c r="Q123" i="56"/>
  <c r="Q6" i="56"/>
  <c r="Q7" i="56"/>
  <c r="Q8" i="56"/>
  <c r="Q9" i="56"/>
  <c r="Q10" i="56"/>
  <c r="Q11" i="56"/>
  <c r="Q12" i="56"/>
  <c r="Q13" i="56"/>
  <c r="Q14" i="56"/>
  <c r="Q15" i="56"/>
  <c r="Q16" i="56"/>
  <c r="Q17" i="56"/>
  <c r="Q18" i="56"/>
  <c r="Q19" i="56"/>
  <c r="Q20" i="56"/>
  <c r="Q21" i="56"/>
  <c r="Q22" i="56"/>
  <c r="Q23" i="56"/>
  <c r="Q24" i="56"/>
  <c r="Q25" i="56"/>
  <c r="Q26" i="56"/>
  <c r="Q27" i="56"/>
  <c r="Q28" i="56"/>
  <c r="Q29" i="56"/>
  <c r="Q30" i="56"/>
  <c r="Q31" i="56"/>
  <c r="Q32" i="56"/>
  <c r="Q33" i="56"/>
  <c r="Q34" i="56"/>
  <c r="Q35" i="56"/>
  <c r="Q36" i="56"/>
  <c r="Q37" i="56"/>
  <c r="Q38" i="56"/>
  <c r="Q39" i="56"/>
  <c r="Q40" i="56"/>
  <c r="Q41" i="56"/>
  <c r="Q42" i="56"/>
  <c r="Q43" i="56"/>
  <c r="Q44" i="56"/>
  <c r="Q45" i="56"/>
  <c r="Q46" i="56"/>
  <c r="Q47" i="56"/>
  <c r="Q48" i="56"/>
  <c r="Q49" i="56"/>
  <c r="Q50" i="56"/>
  <c r="Q51" i="56"/>
  <c r="Q52" i="56"/>
  <c r="Q53" i="56"/>
  <c r="Q54" i="56"/>
  <c r="Q55" i="56"/>
  <c r="Q56" i="56"/>
  <c r="Q57" i="56"/>
  <c r="Q58" i="56"/>
  <c r="Q59" i="56"/>
  <c r="Q60" i="56"/>
  <c r="Q61" i="56"/>
  <c r="B68" i="56"/>
  <c r="C68" i="56"/>
  <c r="B69" i="56"/>
  <c r="C69" i="56"/>
  <c r="B70" i="56"/>
  <c r="C70" i="56"/>
  <c r="B71" i="56"/>
  <c r="C71" i="56"/>
  <c r="B72" i="56"/>
  <c r="C72" i="56"/>
  <c r="B73" i="56"/>
  <c r="C73" i="56"/>
  <c r="B74" i="56"/>
  <c r="C74" i="56"/>
  <c r="B75" i="56"/>
  <c r="C75" i="56"/>
  <c r="B76" i="56"/>
  <c r="C76" i="56"/>
  <c r="B77" i="56"/>
  <c r="C77" i="56"/>
  <c r="B78" i="56"/>
  <c r="C78" i="56"/>
  <c r="B79" i="56"/>
  <c r="C79" i="56"/>
  <c r="B80" i="56"/>
  <c r="C80" i="56"/>
  <c r="B81" i="56"/>
  <c r="C81" i="56"/>
  <c r="B82" i="56"/>
  <c r="C82" i="56"/>
  <c r="B83" i="56"/>
  <c r="C83" i="56"/>
  <c r="B84" i="56"/>
  <c r="C84" i="56"/>
  <c r="B85" i="56"/>
  <c r="C85" i="56"/>
  <c r="B86" i="56"/>
  <c r="C86" i="56"/>
  <c r="B87" i="56"/>
  <c r="C87" i="56"/>
  <c r="B88" i="56"/>
  <c r="C88" i="56"/>
  <c r="B89" i="56"/>
  <c r="C89" i="56"/>
  <c r="B90" i="56"/>
  <c r="C90" i="56"/>
  <c r="B91" i="56"/>
  <c r="C91" i="56"/>
  <c r="B92" i="56"/>
  <c r="C92" i="56"/>
  <c r="B93" i="56"/>
  <c r="C93" i="56"/>
  <c r="B94" i="56"/>
  <c r="C94" i="56"/>
  <c r="B95" i="56"/>
  <c r="C95" i="56"/>
  <c r="B96" i="56"/>
  <c r="C96" i="56"/>
  <c r="B97" i="56"/>
  <c r="C97" i="56"/>
  <c r="B98" i="56"/>
  <c r="C98" i="56"/>
  <c r="B99" i="56"/>
  <c r="C99" i="56"/>
  <c r="B100" i="56"/>
  <c r="C100" i="56"/>
  <c r="B101" i="56"/>
  <c r="C101" i="56"/>
  <c r="B102" i="56"/>
  <c r="C102" i="56"/>
  <c r="B103" i="56"/>
  <c r="C103" i="56"/>
  <c r="B104" i="56"/>
  <c r="C104" i="56"/>
  <c r="B105" i="56"/>
  <c r="C105" i="56"/>
  <c r="B106" i="56"/>
  <c r="C106" i="56"/>
  <c r="B107" i="56"/>
  <c r="C107" i="56"/>
  <c r="B108" i="56"/>
  <c r="C108" i="56"/>
  <c r="B109" i="56"/>
  <c r="C109" i="56"/>
  <c r="B110" i="56"/>
  <c r="C110" i="56"/>
  <c r="B111" i="56"/>
  <c r="C111" i="56"/>
  <c r="B112" i="56"/>
  <c r="C112" i="56"/>
  <c r="B113" i="56"/>
  <c r="C113" i="56"/>
  <c r="B114" i="56"/>
  <c r="C114" i="56"/>
  <c r="B115" i="56"/>
  <c r="C115" i="56"/>
  <c r="B116" i="56"/>
  <c r="C116" i="56"/>
  <c r="B117" i="56"/>
  <c r="C117" i="56"/>
  <c r="B118" i="56"/>
  <c r="C118" i="56"/>
  <c r="B119" i="56"/>
  <c r="C119" i="56"/>
  <c r="B120" i="56"/>
  <c r="C120" i="56"/>
  <c r="B121" i="56"/>
  <c r="C121" i="56"/>
  <c r="B122" i="56"/>
  <c r="C122" i="56"/>
  <c r="B123" i="56"/>
  <c r="C123" i="56"/>
  <c r="B6" i="56"/>
  <c r="C6" i="56"/>
  <c r="B7" i="56"/>
  <c r="C7" i="56"/>
  <c r="B8" i="56"/>
  <c r="C8" i="56"/>
  <c r="B9" i="56"/>
  <c r="C9" i="56"/>
  <c r="B10" i="56"/>
  <c r="C10" i="56"/>
  <c r="B11" i="56"/>
  <c r="C11" i="56"/>
  <c r="B12" i="56"/>
  <c r="C12" i="56"/>
  <c r="B13" i="56"/>
  <c r="C13" i="56"/>
  <c r="B14" i="56"/>
  <c r="C14" i="56"/>
  <c r="B15" i="56"/>
  <c r="C15" i="56"/>
  <c r="B16" i="56"/>
  <c r="C16" i="56"/>
  <c r="B17" i="56"/>
  <c r="C17" i="56"/>
  <c r="B18" i="56"/>
  <c r="C18" i="56"/>
  <c r="B19" i="56"/>
  <c r="C19" i="56"/>
  <c r="B20" i="56"/>
  <c r="C20" i="56"/>
  <c r="B21" i="56"/>
  <c r="C21" i="56"/>
  <c r="B22" i="56"/>
  <c r="C22" i="56"/>
  <c r="B23" i="56"/>
  <c r="C23" i="56"/>
  <c r="B24" i="56"/>
  <c r="C24" i="56"/>
  <c r="B25" i="56"/>
  <c r="C25" i="56"/>
  <c r="B26" i="56"/>
  <c r="C26" i="56"/>
  <c r="B27" i="56"/>
  <c r="C27" i="56"/>
  <c r="B28" i="56"/>
  <c r="C28" i="56"/>
  <c r="B29" i="56"/>
  <c r="C29" i="56"/>
  <c r="B30" i="56"/>
  <c r="C30" i="56"/>
  <c r="B31" i="56"/>
  <c r="C31" i="56"/>
  <c r="B32" i="56"/>
  <c r="C32" i="56"/>
  <c r="B33" i="56"/>
  <c r="C33" i="56"/>
  <c r="B34" i="56"/>
  <c r="C34" i="56"/>
  <c r="B35" i="56"/>
  <c r="C35" i="56"/>
  <c r="B36" i="56"/>
  <c r="C36" i="56"/>
  <c r="B37" i="56"/>
  <c r="C37" i="56"/>
  <c r="B38" i="56"/>
  <c r="C38" i="56"/>
  <c r="B39" i="56"/>
  <c r="C39" i="56"/>
  <c r="B40" i="56"/>
  <c r="C40" i="56"/>
  <c r="B41" i="56"/>
  <c r="C41" i="56"/>
  <c r="B42" i="56"/>
  <c r="C42" i="56"/>
  <c r="B43" i="56"/>
  <c r="C43" i="56"/>
  <c r="B44" i="56"/>
  <c r="C44" i="56"/>
  <c r="B45" i="56"/>
  <c r="C45" i="56"/>
  <c r="B46" i="56"/>
  <c r="C46" i="56"/>
  <c r="B47" i="56"/>
  <c r="C47" i="56"/>
  <c r="B48" i="56"/>
  <c r="C48" i="56"/>
  <c r="B49" i="56"/>
  <c r="C49" i="56"/>
  <c r="B50" i="56"/>
  <c r="C50" i="56"/>
  <c r="B51" i="56"/>
  <c r="C51" i="56"/>
  <c r="B52" i="56"/>
  <c r="C52" i="56"/>
  <c r="B53" i="56"/>
  <c r="C53" i="56"/>
  <c r="B54" i="56"/>
  <c r="C54" i="56"/>
  <c r="B55" i="56"/>
  <c r="C55" i="56"/>
  <c r="B56" i="56"/>
  <c r="C56" i="56"/>
  <c r="B57" i="56"/>
  <c r="C57" i="56"/>
  <c r="B58" i="56"/>
  <c r="C58" i="56"/>
  <c r="B59" i="56"/>
  <c r="C59" i="56"/>
  <c r="B60" i="56"/>
  <c r="C60" i="56"/>
  <c r="B61" i="56"/>
  <c r="C61" i="56"/>
  <c r="Q6" i="55"/>
  <c r="Q8" i="55"/>
  <c r="Q9" i="55"/>
  <c r="Q10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B6" i="55"/>
  <c r="C6" i="55"/>
  <c r="B8" i="55"/>
  <c r="C8" i="55"/>
  <c r="B9" i="55"/>
  <c r="C9" i="55"/>
  <c r="B10" i="55"/>
  <c r="C10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B36" i="55"/>
  <c r="C36" i="55"/>
  <c r="B37" i="55"/>
  <c r="C37" i="55"/>
  <c r="B38" i="55"/>
  <c r="C38" i="55"/>
  <c r="B39" i="55"/>
  <c r="C39" i="55"/>
  <c r="B40" i="55"/>
  <c r="C40" i="55"/>
  <c r="B41" i="55"/>
  <c r="C41" i="55"/>
  <c r="B42" i="55"/>
  <c r="C42" i="55"/>
  <c r="B43" i="55"/>
  <c r="C43" i="55"/>
  <c r="B44" i="55"/>
  <c r="C44" i="55"/>
  <c r="B45" i="55"/>
  <c r="C45" i="55"/>
  <c r="B46" i="55"/>
  <c r="C46" i="55"/>
  <c r="B47" i="55"/>
  <c r="C47" i="55"/>
  <c r="B48" i="55"/>
  <c r="C48" i="55"/>
  <c r="B49" i="55"/>
  <c r="C49" i="55"/>
  <c r="B50" i="55"/>
  <c r="C50" i="55"/>
  <c r="B51" i="55"/>
  <c r="C51" i="55"/>
  <c r="B52" i="55"/>
  <c r="C52" i="55"/>
  <c r="B53" i="55"/>
  <c r="C53" i="55"/>
  <c r="B54" i="55"/>
  <c r="C54" i="55"/>
  <c r="B55" i="55"/>
  <c r="C55" i="55"/>
  <c r="B56" i="55"/>
  <c r="C56" i="55"/>
  <c r="B57" i="55"/>
  <c r="C57" i="55"/>
  <c r="B58" i="55"/>
  <c r="C58" i="55"/>
  <c r="B59" i="55"/>
  <c r="C59" i="55"/>
  <c r="B60" i="55"/>
  <c r="C60" i="55"/>
  <c r="B61" i="55"/>
  <c r="C61" i="55"/>
  <c r="B62" i="55"/>
  <c r="C62" i="55"/>
  <c r="B63" i="55"/>
  <c r="C63" i="55"/>
  <c r="Q266" i="54"/>
  <c r="Q268" i="54"/>
  <c r="Q269" i="54"/>
  <c r="Q270" i="54"/>
  <c r="Q272" i="54"/>
  <c r="Q273" i="54"/>
  <c r="Q274" i="54"/>
  <c r="Q275" i="54"/>
  <c r="Q276" i="54"/>
  <c r="Q277" i="54"/>
  <c r="Q278" i="54"/>
  <c r="Q279" i="54"/>
  <c r="Q280" i="54"/>
  <c r="Q281" i="54"/>
  <c r="Q282" i="54"/>
  <c r="Q283" i="54"/>
  <c r="Q284" i="54"/>
  <c r="Q285" i="54"/>
  <c r="Q286" i="54"/>
  <c r="Q287" i="54"/>
  <c r="Q288" i="54"/>
  <c r="Q289" i="54"/>
  <c r="Q290" i="54"/>
  <c r="Q291" i="54"/>
  <c r="Q292" i="54"/>
  <c r="Q293" i="54"/>
  <c r="Q294" i="54"/>
  <c r="Q295" i="54"/>
  <c r="Q296" i="54"/>
  <c r="Q297" i="54"/>
  <c r="Q298" i="54"/>
  <c r="Q299" i="54"/>
  <c r="Q300" i="54"/>
  <c r="Q301" i="54"/>
  <c r="Q302" i="54"/>
  <c r="Q303" i="54"/>
  <c r="Q304" i="54"/>
  <c r="Q305" i="54"/>
  <c r="Q306" i="54"/>
  <c r="Q307" i="54"/>
  <c r="Q308" i="54"/>
  <c r="Q309" i="54"/>
  <c r="Q310" i="54"/>
  <c r="Q311" i="54"/>
  <c r="Q312" i="54"/>
  <c r="Q313" i="54"/>
  <c r="Q314" i="54"/>
  <c r="Q315" i="54"/>
  <c r="Q316" i="54"/>
  <c r="Q317" i="54"/>
  <c r="Q318" i="54"/>
  <c r="Q319" i="54"/>
  <c r="Q320" i="54"/>
  <c r="Q321" i="54"/>
  <c r="Q322" i="54"/>
  <c r="Q323" i="54"/>
  <c r="B266" i="54"/>
  <c r="C266" i="54"/>
  <c r="B268" i="54"/>
  <c r="C268" i="54"/>
  <c r="B269" i="54"/>
  <c r="C269" i="54"/>
  <c r="B270" i="54"/>
  <c r="C270" i="54"/>
  <c r="B272" i="54"/>
  <c r="C272" i="54"/>
  <c r="B273" i="54"/>
  <c r="C273" i="54"/>
  <c r="B274" i="54"/>
  <c r="C274" i="54"/>
  <c r="B275" i="54"/>
  <c r="C275" i="54"/>
  <c r="B276" i="54"/>
  <c r="C276" i="54"/>
  <c r="B277" i="54"/>
  <c r="C277" i="54"/>
  <c r="B278" i="54"/>
  <c r="C278" i="54"/>
  <c r="B279" i="54"/>
  <c r="C279" i="54"/>
  <c r="B280" i="54"/>
  <c r="C280" i="54"/>
  <c r="B281" i="54"/>
  <c r="C281" i="54"/>
  <c r="B282" i="54"/>
  <c r="C282" i="54"/>
  <c r="B283" i="54"/>
  <c r="C283" i="54"/>
  <c r="B284" i="54"/>
  <c r="C284" i="54"/>
  <c r="B285" i="54"/>
  <c r="C285" i="54"/>
  <c r="B286" i="54"/>
  <c r="C286" i="54"/>
  <c r="B287" i="54"/>
  <c r="C287" i="54"/>
  <c r="B288" i="54"/>
  <c r="C288" i="54"/>
  <c r="B289" i="54"/>
  <c r="C289" i="54"/>
  <c r="B290" i="54"/>
  <c r="C290" i="54"/>
  <c r="B291" i="54"/>
  <c r="C291" i="54"/>
  <c r="B292" i="54"/>
  <c r="C292" i="54"/>
  <c r="B293" i="54"/>
  <c r="C293" i="54"/>
  <c r="B294" i="54"/>
  <c r="C294" i="54"/>
  <c r="B295" i="54"/>
  <c r="C295" i="54"/>
  <c r="B296" i="54"/>
  <c r="C296" i="54"/>
  <c r="B297" i="54"/>
  <c r="C297" i="54"/>
  <c r="B298" i="54"/>
  <c r="C298" i="54"/>
  <c r="B299" i="54"/>
  <c r="C299" i="54"/>
  <c r="B300" i="54"/>
  <c r="C300" i="54"/>
  <c r="B301" i="54"/>
  <c r="C301" i="54"/>
  <c r="B302" i="54"/>
  <c r="C302" i="54"/>
  <c r="B303" i="54"/>
  <c r="C303" i="54"/>
  <c r="B304" i="54"/>
  <c r="C304" i="54"/>
  <c r="B305" i="54"/>
  <c r="C305" i="54"/>
  <c r="B306" i="54"/>
  <c r="C306" i="54"/>
  <c r="B307" i="54"/>
  <c r="C307" i="54"/>
  <c r="B308" i="54"/>
  <c r="C308" i="54"/>
  <c r="B309" i="54"/>
  <c r="C309" i="54"/>
  <c r="B310" i="54"/>
  <c r="C310" i="54"/>
  <c r="B311" i="54"/>
  <c r="C311" i="54"/>
  <c r="B312" i="54"/>
  <c r="C312" i="54"/>
  <c r="B313" i="54"/>
  <c r="C313" i="54"/>
  <c r="B314" i="54"/>
  <c r="C314" i="54"/>
  <c r="B315" i="54"/>
  <c r="C315" i="54"/>
  <c r="B316" i="54"/>
  <c r="C316" i="54"/>
  <c r="B317" i="54"/>
  <c r="C317" i="54"/>
  <c r="B318" i="54"/>
  <c r="C318" i="54"/>
  <c r="B319" i="54"/>
  <c r="C319" i="54"/>
  <c r="B320" i="54"/>
  <c r="C320" i="54"/>
  <c r="B321" i="54"/>
  <c r="C321" i="54"/>
  <c r="B322" i="54"/>
  <c r="C322" i="54"/>
  <c r="B323" i="54"/>
  <c r="C323" i="54"/>
  <c r="Q201" i="54"/>
  <c r="Q203" i="54"/>
  <c r="Q204" i="54"/>
  <c r="Q205" i="54"/>
  <c r="Q207" i="54"/>
  <c r="Q208" i="54"/>
  <c r="Q209" i="54"/>
  <c r="Q210" i="54"/>
  <c r="Q211" i="54"/>
  <c r="Q212" i="54"/>
  <c r="Q213" i="54"/>
  <c r="Q214" i="54"/>
  <c r="Q215" i="54"/>
  <c r="Q216" i="54"/>
  <c r="Q217" i="54"/>
  <c r="Q218" i="54"/>
  <c r="Q219" i="54"/>
  <c r="Q220" i="54"/>
  <c r="Q221" i="54"/>
  <c r="Q222" i="54"/>
  <c r="Q223" i="54"/>
  <c r="Q224" i="54"/>
  <c r="Q225" i="54"/>
  <c r="Q226" i="54"/>
  <c r="Q227" i="54"/>
  <c r="Q228" i="54"/>
  <c r="Q229" i="54"/>
  <c r="Q230" i="54"/>
  <c r="Q231" i="54"/>
  <c r="Q232" i="54"/>
  <c r="Q233" i="54"/>
  <c r="Q234" i="54"/>
  <c r="Q235" i="54"/>
  <c r="Q236" i="54"/>
  <c r="Q237" i="54"/>
  <c r="Q238" i="54"/>
  <c r="Q239" i="54"/>
  <c r="Q240" i="54"/>
  <c r="Q241" i="54"/>
  <c r="Q242" i="54"/>
  <c r="Q243" i="54"/>
  <c r="Q244" i="54"/>
  <c r="Q245" i="54"/>
  <c r="Q246" i="54"/>
  <c r="Q247" i="54"/>
  <c r="Q248" i="54"/>
  <c r="Q249" i="54"/>
  <c r="Q250" i="54"/>
  <c r="Q251" i="54"/>
  <c r="Q252" i="54"/>
  <c r="Q253" i="54"/>
  <c r="Q254" i="54"/>
  <c r="Q255" i="54"/>
  <c r="Q256" i="54"/>
  <c r="Q257" i="54"/>
  <c r="Q258" i="54"/>
  <c r="B201" i="54"/>
  <c r="C201" i="54"/>
  <c r="B203" i="54"/>
  <c r="C203" i="54"/>
  <c r="B204" i="54"/>
  <c r="C204" i="54"/>
  <c r="B205" i="54"/>
  <c r="C205" i="54"/>
  <c r="B207" i="54"/>
  <c r="C207" i="54"/>
  <c r="B208" i="54"/>
  <c r="C208" i="54"/>
  <c r="B209" i="54"/>
  <c r="C209" i="54"/>
  <c r="B210" i="54"/>
  <c r="C210" i="54"/>
  <c r="B211" i="54"/>
  <c r="C211" i="54"/>
  <c r="B212" i="54"/>
  <c r="C212" i="54"/>
  <c r="B213" i="54"/>
  <c r="C213" i="54"/>
  <c r="B214" i="54"/>
  <c r="C214" i="54"/>
  <c r="B215" i="54"/>
  <c r="C215" i="54"/>
  <c r="B216" i="54"/>
  <c r="C216" i="54"/>
  <c r="B217" i="54"/>
  <c r="C217" i="54"/>
  <c r="B218" i="54"/>
  <c r="C218" i="54"/>
  <c r="B219" i="54"/>
  <c r="C219" i="54"/>
  <c r="B220" i="54"/>
  <c r="C220" i="54"/>
  <c r="B221" i="54"/>
  <c r="C221" i="54"/>
  <c r="B222" i="54"/>
  <c r="C222" i="54"/>
  <c r="B223" i="54"/>
  <c r="C223" i="54"/>
  <c r="B224" i="54"/>
  <c r="C224" i="54"/>
  <c r="B225" i="54"/>
  <c r="C225" i="54"/>
  <c r="B226" i="54"/>
  <c r="C226" i="54"/>
  <c r="B227" i="54"/>
  <c r="C227" i="54"/>
  <c r="B228" i="54"/>
  <c r="C228" i="54"/>
  <c r="B229" i="54"/>
  <c r="C229" i="54"/>
  <c r="B230" i="54"/>
  <c r="C230" i="54"/>
  <c r="B231" i="54"/>
  <c r="C231" i="54"/>
  <c r="B232" i="54"/>
  <c r="C232" i="54"/>
  <c r="B233" i="54"/>
  <c r="C233" i="54"/>
  <c r="B234" i="54"/>
  <c r="C234" i="54"/>
  <c r="B235" i="54"/>
  <c r="C235" i="54"/>
  <c r="B236" i="54"/>
  <c r="C236" i="54"/>
  <c r="B237" i="54"/>
  <c r="C237" i="54"/>
  <c r="B238" i="54"/>
  <c r="C238" i="54"/>
  <c r="B239" i="54"/>
  <c r="C239" i="54"/>
  <c r="B240" i="54"/>
  <c r="C240" i="54"/>
  <c r="B241" i="54"/>
  <c r="C241" i="54"/>
  <c r="B242" i="54"/>
  <c r="C242" i="54"/>
  <c r="B243" i="54"/>
  <c r="C243" i="54"/>
  <c r="B244" i="54"/>
  <c r="C244" i="54"/>
  <c r="B245" i="54"/>
  <c r="C245" i="54"/>
  <c r="B246" i="54"/>
  <c r="C246" i="54"/>
  <c r="B247" i="54"/>
  <c r="C247" i="54"/>
  <c r="B248" i="54"/>
  <c r="C248" i="54"/>
  <c r="B249" i="54"/>
  <c r="C249" i="54"/>
  <c r="B250" i="54"/>
  <c r="C250" i="54"/>
  <c r="B251" i="54"/>
  <c r="C251" i="54"/>
  <c r="B252" i="54"/>
  <c r="C252" i="54"/>
  <c r="B253" i="54"/>
  <c r="C253" i="54"/>
  <c r="B254" i="54"/>
  <c r="C254" i="54"/>
  <c r="B255" i="54"/>
  <c r="C255" i="54"/>
  <c r="B256" i="54"/>
  <c r="C256" i="54"/>
  <c r="B257" i="54"/>
  <c r="C257" i="54"/>
  <c r="B258" i="54"/>
  <c r="C258" i="54"/>
  <c r="Q136" i="54"/>
  <c r="Q138" i="54"/>
  <c r="Q139" i="54"/>
  <c r="Q140" i="54"/>
  <c r="Q142" i="54"/>
  <c r="Q143" i="54"/>
  <c r="Q144" i="54"/>
  <c r="Q145" i="54"/>
  <c r="Q146" i="54"/>
  <c r="Q147" i="54"/>
  <c r="Q148" i="54"/>
  <c r="Q149" i="54"/>
  <c r="Q150" i="54"/>
  <c r="Q151" i="54"/>
  <c r="Q152" i="54"/>
  <c r="Q153" i="54"/>
  <c r="Q154" i="54"/>
  <c r="Q155" i="54"/>
  <c r="Q156" i="54"/>
  <c r="Q157" i="54"/>
  <c r="Q158" i="54"/>
  <c r="Q159" i="54"/>
  <c r="Q160" i="54"/>
  <c r="Q161" i="54"/>
  <c r="Q162" i="54"/>
  <c r="Q163" i="54"/>
  <c r="Q164" i="54"/>
  <c r="Q165" i="54"/>
  <c r="Q166" i="54"/>
  <c r="Q167" i="54"/>
  <c r="Q168" i="54"/>
  <c r="Q169" i="54"/>
  <c r="Q170" i="54"/>
  <c r="Q171" i="54"/>
  <c r="Q172" i="54"/>
  <c r="Q173" i="54"/>
  <c r="Q174" i="54"/>
  <c r="Q175" i="54"/>
  <c r="Q176" i="54"/>
  <c r="Q177" i="54"/>
  <c r="Q178" i="54"/>
  <c r="Q179" i="54"/>
  <c r="Q180" i="54"/>
  <c r="Q181" i="54"/>
  <c r="Q182" i="54"/>
  <c r="Q183" i="54"/>
  <c r="Q184" i="54"/>
  <c r="Q185" i="54"/>
  <c r="Q186" i="54"/>
  <c r="Q187" i="54"/>
  <c r="Q188" i="54"/>
  <c r="Q189" i="54"/>
  <c r="Q190" i="54"/>
  <c r="Q191" i="54"/>
  <c r="Q192" i="54"/>
  <c r="Q193" i="54"/>
  <c r="B136" i="54"/>
  <c r="C136" i="54"/>
  <c r="B138" i="54"/>
  <c r="C138" i="54"/>
  <c r="B139" i="54"/>
  <c r="C139" i="54"/>
  <c r="B140" i="54"/>
  <c r="C140" i="54"/>
  <c r="B142" i="54"/>
  <c r="C142" i="54"/>
  <c r="B143" i="54"/>
  <c r="C143" i="54"/>
  <c r="B144" i="54"/>
  <c r="C144" i="54"/>
  <c r="B145" i="54"/>
  <c r="C145" i="54"/>
  <c r="B146" i="54"/>
  <c r="C146" i="54"/>
  <c r="B147" i="54"/>
  <c r="C147" i="54"/>
  <c r="B148" i="54"/>
  <c r="C148" i="54"/>
  <c r="B149" i="54"/>
  <c r="C149" i="54"/>
  <c r="B150" i="54"/>
  <c r="C150" i="54"/>
  <c r="B151" i="54"/>
  <c r="C151" i="54"/>
  <c r="B152" i="54"/>
  <c r="C152" i="54"/>
  <c r="B153" i="54"/>
  <c r="C153" i="54"/>
  <c r="B154" i="54"/>
  <c r="C154" i="54"/>
  <c r="B155" i="54"/>
  <c r="C155" i="54"/>
  <c r="B156" i="54"/>
  <c r="C156" i="54"/>
  <c r="B157" i="54"/>
  <c r="C157" i="54"/>
  <c r="B158" i="54"/>
  <c r="C158" i="54"/>
  <c r="B159" i="54"/>
  <c r="C159" i="54"/>
  <c r="B160" i="54"/>
  <c r="C160" i="54"/>
  <c r="B161" i="54"/>
  <c r="C161" i="54"/>
  <c r="B162" i="54"/>
  <c r="C162" i="54"/>
  <c r="B163" i="54"/>
  <c r="C163" i="54"/>
  <c r="B164" i="54"/>
  <c r="C164" i="54"/>
  <c r="B165" i="54"/>
  <c r="C165" i="54"/>
  <c r="B166" i="54"/>
  <c r="C166" i="54"/>
  <c r="B167" i="54"/>
  <c r="C167" i="54"/>
  <c r="B168" i="54"/>
  <c r="C168" i="54"/>
  <c r="B169" i="54"/>
  <c r="C169" i="54"/>
  <c r="B170" i="54"/>
  <c r="C170" i="54"/>
  <c r="B171" i="54"/>
  <c r="C171" i="54"/>
  <c r="B172" i="54"/>
  <c r="C172" i="54"/>
  <c r="B173" i="54"/>
  <c r="C173" i="54"/>
  <c r="B174" i="54"/>
  <c r="C174" i="54"/>
  <c r="B175" i="54"/>
  <c r="C175" i="54"/>
  <c r="B176" i="54"/>
  <c r="C176" i="54"/>
  <c r="B177" i="54"/>
  <c r="C177" i="54"/>
  <c r="B178" i="54"/>
  <c r="C178" i="54"/>
  <c r="B179" i="54"/>
  <c r="C179" i="54"/>
  <c r="B180" i="54"/>
  <c r="C180" i="54"/>
  <c r="B181" i="54"/>
  <c r="C181" i="54"/>
  <c r="B182" i="54"/>
  <c r="C182" i="54"/>
  <c r="B183" i="54"/>
  <c r="C183" i="54"/>
  <c r="B184" i="54"/>
  <c r="C184" i="54"/>
  <c r="B185" i="54"/>
  <c r="C185" i="54"/>
  <c r="B186" i="54"/>
  <c r="C186" i="54"/>
  <c r="B187" i="54"/>
  <c r="C187" i="54"/>
  <c r="B188" i="54"/>
  <c r="C188" i="54"/>
  <c r="B189" i="54"/>
  <c r="C189" i="54"/>
  <c r="B190" i="54"/>
  <c r="C190" i="54"/>
  <c r="B191" i="54"/>
  <c r="C191" i="54"/>
  <c r="B192" i="54"/>
  <c r="C192" i="54"/>
  <c r="B193" i="54"/>
  <c r="C193" i="54"/>
  <c r="Q71" i="54"/>
  <c r="Q73" i="54"/>
  <c r="Q74" i="54"/>
  <c r="Q75" i="54"/>
  <c r="Q77" i="54"/>
  <c r="Q78" i="54"/>
  <c r="Q79" i="54"/>
  <c r="Q80" i="54"/>
  <c r="Q81" i="54"/>
  <c r="Q82" i="54"/>
  <c r="Q83" i="54"/>
  <c r="Q84" i="54"/>
  <c r="Q85" i="54"/>
  <c r="Q86" i="54"/>
  <c r="Q87" i="54"/>
  <c r="Q88" i="54"/>
  <c r="Q89" i="54"/>
  <c r="Q90" i="54"/>
  <c r="Q91" i="54"/>
  <c r="Q92" i="54"/>
  <c r="Q93" i="54"/>
  <c r="Q94" i="54"/>
  <c r="Q95" i="54"/>
  <c r="Q96" i="54"/>
  <c r="Q97" i="54"/>
  <c r="Q98" i="54"/>
  <c r="Q99" i="54"/>
  <c r="Q100" i="54"/>
  <c r="Q101" i="54"/>
  <c r="Q102" i="54"/>
  <c r="Q103" i="54"/>
  <c r="Q104" i="54"/>
  <c r="Q105" i="54"/>
  <c r="Q106" i="54"/>
  <c r="Q107" i="54"/>
  <c r="Q108" i="54"/>
  <c r="Q109" i="54"/>
  <c r="Q110" i="54"/>
  <c r="Q111" i="54"/>
  <c r="Q112" i="54"/>
  <c r="Q113" i="54"/>
  <c r="Q114" i="54"/>
  <c r="Q115" i="54"/>
  <c r="Q116" i="54"/>
  <c r="Q117" i="54"/>
  <c r="Q118" i="54"/>
  <c r="Q119" i="54"/>
  <c r="Q120" i="54"/>
  <c r="Q121" i="54"/>
  <c r="Q122" i="54"/>
  <c r="Q123" i="54"/>
  <c r="Q124" i="54"/>
  <c r="Q125" i="54"/>
  <c r="Q126" i="54"/>
  <c r="Q127" i="54"/>
  <c r="Q128" i="54"/>
  <c r="B71" i="54"/>
  <c r="C71" i="54"/>
  <c r="B73" i="54"/>
  <c r="C73" i="54"/>
  <c r="B74" i="54"/>
  <c r="C74" i="54"/>
  <c r="B75" i="54"/>
  <c r="C75" i="54"/>
  <c r="B77" i="54"/>
  <c r="C77" i="54"/>
  <c r="B78" i="54"/>
  <c r="C78" i="54"/>
  <c r="B79" i="54"/>
  <c r="C79" i="54"/>
  <c r="B80" i="54"/>
  <c r="C80" i="54"/>
  <c r="B81" i="54"/>
  <c r="C81" i="54"/>
  <c r="B82" i="54"/>
  <c r="C82" i="54"/>
  <c r="B83" i="54"/>
  <c r="C83" i="54"/>
  <c r="B84" i="54"/>
  <c r="C84" i="54"/>
  <c r="B85" i="54"/>
  <c r="C85" i="54"/>
  <c r="B86" i="54"/>
  <c r="C86" i="54"/>
  <c r="B87" i="54"/>
  <c r="C87" i="54"/>
  <c r="B88" i="54"/>
  <c r="C88" i="54"/>
  <c r="B89" i="54"/>
  <c r="C89" i="54"/>
  <c r="B90" i="54"/>
  <c r="C90" i="54"/>
  <c r="B91" i="54"/>
  <c r="C91" i="54"/>
  <c r="B92" i="54"/>
  <c r="C92" i="54"/>
  <c r="B93" i="54"/>
  <c r="C93" i="54"/>
  <c r="B94" i="54"/>
  <c r="C94" i="54"/>
  <c r="B95" i="54"/>
  <c r="C95" i="54"/>
  <c r="B96" i="54"/>
  <c r="C96" i="54"/>
  <c r="B97" i="54"/>
  <c r="C97" i="54"/>
  <c r="B98" i="54"/>
  <c r="C98" i="54"/>
  <c r="B99" i="54"/>
  <c r="C99" i="54"/>
  <c r="B100" i="54"/>
  <c r="C100" i="54"/>
  <c r="B101" i="54"/>
  <c r="C101" i="54"/>
  <c r="B102" i="54"/>
  <c r="C102" i="54"/>
  <c r="B103" i="54"/>
  <c r="C103" i="54"/>
  <c r="B104" i="54"/>
  <c r="C104" i="54"/>
  <c r="B105" i="54"/>
  <c r="C105" i="54"/>
  <c r="B106" i="54"/>
  <c r="C106" i="54"/>
  <c r="B107" i="54"/>
  <c r="C107" i="54"/>
  <c r="B108" i="54"/>
  <c r="C108" i="54"/>
  <c r="B109" i="54"/>
  <c r="C109" i="54"/>
  <c r="B110" i="54"/>
  <c r="C110" i="54"/>
  <c r="B111" i="54"/>
  <c r="C111" i="54"/>
  <c r="B112" i="54"/>
  <c r="C112" i="54"/>
  <c r="B113" i="54"/>
  <c r="C113" i="54"/>
  <c r="B114" i="54"/>
  <c r="C114" i="54"/>
  <c r="B115" i="54"/>
  <c r="C115" i="54"/>
  <c r="B116" i="54"/>
  <c r="C116" i="54"/>
  <c r="B117" i="54"/>
  <c r="C117" i="54"/>
  <c r="B118" i="54"/>
  <c r="C118" i="54"/>
  <c r="B119" i="54"/>
  <c r="C119" i="54"/>
  <c r="B120" i="54"/>
  <c r="C120" i="54"/>
  <c r="B121" i="54"/>
  <c r="C121" i="54"/>
  <c r="B122" i="54"/>
  <c r="C122" i="54"/>
  <c r="B123" i="54"/>
  <c r="C123" i="54"/>
  <c r="B124" i="54"/>
  <c r="C124" i="54"/>
  <c r="B125" i="54"/>
  <c r="C125" i="54"/>
  <c r="B126" i="54"/>
  <c r="C126" i="54"/>
  <c r="B127" i="54"/>
  <c r="C127" i="54"/>
  <c r="B128" i="54"/>
  <c r="C128" i="54"/>
  <c r="Q6" i="54"/>
  <c r="Q8" i="54"/>
  <c r="Q9" i="54"/>
  <c r="Q10" i="54"/>
  <c r="Q12" i="54"/>
  <c r="Q13" i="54"/>
  <c r="Q14" i="54"/>
  <c r="Q15" i="54"/>
  <c r="Q16" i="54"/>
  <c r="Q17" i="54"/>
  <c r="Q18" i="54"/>
  <c r="Q19" i="54"/>
  <c r="Q20" i="54"/>
  <c r="Q21" i="54"/>
  <c r="Q22" i="54"/>
  <c r="Q23" i="54"/>
  <c r="Q24" i="54"/>
  <c r="Q25" i="54"/>
  <c r="Q26" i="54"/>
  <c r="Q27" i="54"/>
  <c r="Q28" i="54"/>
  <c r="Q29" i="54"/>
  <c r="Q30" i="54"/>
  <c r="Q31" i="54"/>
  <c r="Q32" i="54"/>
  <c r="Q33" i="54"/>
  <c r="Q34" i="54"/>
  <c r="Q35" i="54"/>
  <c r="Q36" i="54"/>
  <c r="Q37" i="54"/>
  <c r="Q38" i="54"/>
  <c r="Q39" i="54"/>
  <c r="Q40" i="54"/>
  <c r="Q41" i="54"/>
  <c r="Q42" i="54"/>
  <c r="Q43" i="54"/>
  <c r="Q44" i="54"/>
  <c r="Q45" i="54"/>
  <c r="Q46" i="54"/>
  <c r="Q47" i="54"/>
  <c r="Q48" i="54"/>
  <c r="Q49" i="54"/>
  <c r="Q50" i="54"/>
  <c r="Q51" i="54"/>
  <c r="Q52" i="54"/>
  <c r="Q53" i="54"/>
  <c r="Q54" i="54"/>
  <c r="Q55" i="54"/>
  <c r="Q56" i="54"/>
  <c r="Q57" i="54"/>
  <c r="Q58" i="54"/>
  <c r="Q59" i="54"/>
  <c r="Q60" i="54"/>
  <c r="Q61" i="54"/>
  <c r="Q62" i="54"/>
  <c r="Q63" i="54"/>
  <c r="B6" i="54"/>
  <c r="C6" i="54"/>
  <c r="B8" i="54"/>
  <c r="C8" i="54"/>
  <c r="B9" i="54"/>
  <c r="C9" i="54"/>
  <c r="B10" i="54"/>
  <c r="C10" i="54"/>
  <c r="B12" i="54"/>
  <c r="C12" i="54"/>
  <c r="B13" i="54"/>
  <c r="C13" i="54"/>
  <c r="B14" i="54"/>
  <c r="C14" i="54"/>
  <c r="B15" i="54"/>
  <c r="C15" i="54"/>
  <c r="B16" i="54"/>
  <c r="C16" i="54"/>
  <c r="B17" i="54"/>
  <c r="C17" i="54"/>
  <c r="B18" i="54"/>
  <c r="C18" i="54"/>
  <c r="B19" i="54"/>
  <c r="C19" i="54"/>
  <c r="B20" i="54"/>
  <c r="C20" i="54"/>
  <c r="B21" i="54"/>
  <c r="C21" i="54"/>
  <c r="B22" i="54"/>
  <c r="C22" i="54"/>
  <c r="B23" i="54"/>
  <c r="C23" i="54"/>
  <c r="B24" i="54"/>
  <c r="C24" i="54"/>
  <c r="B25" i="54"/>
  <c r="C25" i="54"/>
  <c r="B26" i="54"/>
  <c r="C26" i="54"/>
  <c r="B27" i="54"/>
  <c r="C27" i="54"/>
  <c r="B28" i="54"/>
  <c r="C28" i="54"/>
  <c r="B29" i="54"/>
  <c r="C29" i="54"/>
  <c r="B30" i="54"/>
  <c r="C30" i="54"/>
  <c r="B31" i="54"/>
  <c r="C31" i="54"/>
  <c r="B32" i="54"/>
  <c r="C32" i="54"/>
  <c r="B33" i="54"/>
  <c r="C33" i="54"/>
  <c r="B34" i="54"/>
  <c r="C34" i="54"/>
  <c r="B35" i="54"/>
  <c r="C35" i="54"/>
  <c r="B36" i="54"/>
  <c r="C36" i="54"/>
  <c r="B37" i="54"/>
  <c r="C37" i="54"/>
  <c r="B38" i="54"/>
  <c r="C38" i="54"/>
  <c r="B39" i="54"/>
  <c r="C39" i="54"/>
  <c r="B40" i="54"/>
  <c r="C40" i="54"/>
  <c r="B41" i="54"/>
  <c r="C41" i="54"/>
  <c r="B42" i="54"/>
  <c r="C42" i="54"/>
  <c r="B43" i="54"/>
  <c r="C43" i="54"/>
  <c r="B44" i="54"/>
  <c r="C44" i="54"/>
  <c r="B45" i="54"/>
  <c r="C45" i="54"/>
  <c r="B46" i="54"/>
  <c r="C46" i="54"/>
  <c r="B47" i="54"/>
  <c r="C47" i="54"/>
  <c r="B48" i="54"/>
  <c r="C48" i="54"/>
  <c r="B49" i="54"/>
  <c r="C49" i="54"/>
  <c r="B50" i="54"/>
  <c r="C50" i="54"/>
  <c r="B51" i="54"/>
  <c r="C51" i="54"/>
  <c r="B52" i="54"/>
  <c r="C52" i="54"/>
  <c r="B53" i="54"/>
  <c r="C53" i="54"/>
  <c r="B54" i="54"/>
  <c r="C54" i="54"/>
  <c r="B55" i="54"/>
  <c r="C55" i="54"/>
  <c r="B56" i="54"/>
  <c r="C56" i="54"/>
  <c r="B57" i="54"/>
  <c r="C57" i="54"/>
  <c r="B58" i="54"/>
  <c r="C58" i="54"/>
  <c r="B59" i="54"/>
  <c r="C59" i="54"/>
  <c r="B60" i="54"/>
  <c r="C60" i="54"/>
  <c r="B61" i="54"/>
  <c r="C61" i="54"/>
  <c r="B62" i="54"/>
  <c r="C62" i="54"/>
  <c r="B63" i="54"/>
  <c r="C63" i="54"/>
  <c r="Q6" i="53"/>
  <c r="Q8" i="53"/>
  <c r="Q9" i="53"/>
  <c r="Q10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B6" i="53"/>
  <c r="C6" i="53"/>
  <c r="B8" i="53"/>
  <c r="C8" i="53"/>
  <c r="B9" i="53"/>
  <c r="C9" i="53"/>
  <c r="B10" i="53"/>
  <c r="C10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B61" i="53"/>
  <c r="C61" i="53"/>
  <c r="B62" i="53"/>
  <c r="C62" i="53"/>
  <c r="B63" i="53"/>
  <c r="C63" i="53"/>
  <c r="Q71" i="52"/>
  <c r="Q73" i="52"/>
  <c r="Q74" i="52"/>
  <c r="Q75" i="52"/>
  <c r="Q77" i="52"/>
  <c r="Q78" i="52"/>
  <c r="Q79" i="52"/>
  <c r="Q80" i="52"/>
  <c r="Q81" i="52"/>
  <c r="Q82" i="52"/>
  <c r="Q83" i="52"/>
  <c r="Q84" i="52"/>
  <c r="Q85" i="52"/>
  <c r="Q86" i="52"/>
  <c r="Q87" i="52"/>
  <c r="Q88" i="52"/>
  <c r="Q89" i="52"/>
  <c r="Q90" i="52"/>
  <c r="Q91" i="52"/>
  <c r="Q92" i="52"/>
  <c r="Q93" i="52"/>
  <c r="Q94" i="52"/>
  <c r="Q95" i="52"/>
  <c r="Q96" i="52"/>
  <c r="Q97" i="52"/>
  <c r="Q98" i="52"/>
  <c r="Q99" i="52"/>
  <c r="Q100" i="52"/>
  <c r="Q101" i="52"/>
  <c r="Q102" i="52"/>
  <c r="Q103" i="52"/>
  <c r="Q104" i="52"/>
  <c r="Q105" i="52"/>
  <c r="Q106" i="52"/>
  <c r="Q107" i="52"/>
  <c r="Q108" i="52"/>
  <c r="Q109" i="52"/>
  <c r="Q110" i="52"/>
  <c r="Q111" i="52"/>
  <c r="Q112" i="52"/>
  <c r="Q113" i="52"/>
  <c r="Q114" i="52"/>
  <c r="Q115" i="52"/>
  <c r="Q116" i="52"/>
  <c r="Q117" i="52"/>
  <c r="Q118" i="52"/>
  <c r="Q119" i="52"/>
  <c r="Q120" i="52"/>
  <c r="Q121" i="52"/>
  <c r="Q122" i="52"/>
  <c r="Q123" i="52"/>
  <c r="Q124" i="52"/>
  <c r="Q125" i="52"/>
  <c r="Q126" i="52"/>
  <c r="Q127" i="52"/>
  <c r="Q128" i="52"/>
  <c r="B71" i="52"/>
  <c r="C71" i="52"/>
  <c r="B73" i="52"/>
  <c r="C73" i="52"/>
  <c r="B74" i="52"/>
  <c r="C74" i="52"/>
  <c r="B75" i="52"/>
  <c r="C75" i="52"/>
  <c r="B77" i="52"/>
  <c r="C77" i="52"/>
  <c r="B78" i="52"/>
  <c r="C78" i="52"/>
  <c r="B79" i="52"/>
  <c r="C79" i="52"/>
  <c r="B80" i="52"/>
  <c r="C80" i="52"/>
  <c r="B81" i="52"/>
  <c r="C81" i="52"/>
  <c r="B82" i="52"/>
  <c r="C82" i="52"/>
  <c r="B83" i="52"/>
  <c r="C83" i="52"/>
  <c r="B84" i="52"/>
  <c r="C84" i="52"/>
  <c r="B85" i="52"/>
  <c r="C85" i="52"/>
  <c r="B86" i="52"/>
  <c r="C86" i="52"/>
  <c r="B87" i="52"/>
  <c r="C87" i="52"/>
  <c r="B88" i="52"/>
  <c r="C88" i="52"/>
  <c r="B89" i="52"/>
  <c r="C89" i="52"/>
  <c r="B90" i="52"/>
  <c r="C90" i="52"/>
  <c r="B91" i="52"/>
  <c r="C91" i="52"/>
  <c r="B92" i="52"/>
  <c r="C92" i="52"/>
  <c r="B93" i="52"/>
  <c r="C93" i="52"/>
  <c r="B94" i="52"/>
  <c r="C94" i="52"/>
  <c r="B95" i="52"/>
  <c r="C95" i="52"/>
  <c r="B96" i="52"/>
  <c r="C96" i="52"/>
  <c r="B97" i="52"/>
  <c r="C97" i="52"/>
  <c r="B98" i="52"/>
  <c r="C98" i="52"/>
  <c r="B99" i="52"/>
  <c r="C99" i="52"/>
  <c r="B100" i="52"/>
  <c r="C100" i="52"/>
  <c r="B101" i="52"/>
  <c r="C101" i="52"/>
  <c r="B102" i="52"/>
  <c r="C102" i="52"/>
  <c r="B103" i="52"/>
  <c r="C103" i="52"/>
  <c r="B104" i="52"/>
  <c r="C104" i="52"/>
  <c r="B105" i="52"/>
  <c r="C105" i="52"/>
  <c r="B106" i="52"/>
  <c r="C106" i="52"/>
  <c r="B107" i="52"/>
  <c r="C107" i="52"/>
  <c r="B108" i="52"/>
  <c r="C108" i="52"/>
  <c r="B109" i="52"/>
  <c r="C109" i="52"/>
  <c r="B110" i="52"/>
  <c r="C110" i="52"/>
  <c r="B111" i="52"/>
  <c r="C111" i="52"/>
  <c r="B112" i="52"/>
  <c r="C112" i="52"/>
  <c r="B113" i="52"/>
  <c r="C113" i="52"/>
  <c r="B114" i="52"/>
  <c r="C114" i="52"/>
  <c r="B115" i="52"/>
  <c r="C115" i="52"/>
  <c r="B116" i="52"/>
  <c r="C116" i="52"/>
  <c r="B117" i="52"/>
  <c r="C117" i="52"/>
  <c r="B118" i="52"/>
  <c r="C118" i="52"/>
  <c r="B119" i="52"/>
  <c r="C119" i="52"/>
  <c r="B120" i="52"/>
  <c r="C120" i="52"/>
  <c r="B121" i="52"/>
  <c r="C121" i="52"/>
  <c r="B122" i="52"/>
  <c r="C122" i="52"/>
  <c r="B123" i="52"/>
  <c r="C123" i="52"/>
  <c r="B124" i="52"/>
  <c r="C124" i="52"/>
  <c r="B125" i="52"/>
  <c r="C125" i="52"/>
  <c r="B126" i="52"/>
  <c r="C126" i="52"/>
  <c r="B127" i="52"/>
  <c r="C127" i="52"/>
  <c r="B128" i="52"/>
  <c r="C128" i="52"/>
  <c r="Q6" i="52"/>
  <c r="Q8" i="52"/>
  <c r="Q9" i="52"/>
  <c r="Q10" i="52"/>
  <c r="Q12" i="52"/>
  <c r="Q13" i="52"/>
  <c r="Q14" i="52"/>
  <c r="Q15" i="52"/>
  <c r="Q16" i="52"/>
  <c r="Q17" i="52"/>
  <c r="Q18" i="52"/>
  <c r="Q19" i="52"/>
  <c r="Q20" i="52"/>
  <c r="Q21" i="52"/>
  <c r="Q22" i="52"/>
  <c r="Q23" i="52"/>
  <c r="Q24" i="52"/>
  <c r="Q25" i="52"/>
  <c r="Q26" i="52"/>
  <c r="Q27" i="52"/>
  <c r="Q28" i="52"/>
  <c r="Q29" i="52"/>
  <c r="Q30" i="52"/>
  <c r="Q31" i="52"/>
  <c r="Q32" i="52"/>
  <c r="Q33" i="52"/>
  <c r="Q34" i="52"/>
  <c r="Q35" i="52"/>
  <c r="Q36" i="52"/>
  <c r="Q37" i="52"/>
  <c r="Q38" i="52"/>
  <c r="Q39" i="52"/>
  <c r="Q40" i="52"/>
  <c r="Q41" i="52"/>
  <c r="Q42" i="52"/>
  <c r="Q43" i="52"/>
  <c r="Q44" i="52"/>
  <c r="Q45" i="52"/>
  <c r="Q46" i="52"/>
  <c r="Q47" i="52"/>
  <c r="Q48" i="52"/>
  <c r="Q49" i="52"/>
  <c r="Q50" i="52"/>
  <c r="Q51" i="52"/>
  <c r="Q52" i="52"/>
  <c r="Q53" i="52"/>
  <c r="Q54" i="52"/>
  <c r="Q55" i="52"/>
  <c r="Q56" i="52"/>
  <c r="Q57" i="52"/>
  <c r="Q58" i="52"/>
  <c r="Q59" i="52"/>
  <c r="Q60" i="52"/>
  <c r="Q61" i="52"/>
  <c r="Q62" i="52"/>
  <c r="Q63" i="52"/>
  <c r="B6" i="52"/>
  <c r="C6" i="52"/>
  <c r="B8" i="52"/>
  <c r="C8" i="52"/>
  <c r="B9" i="52"/>
  <c r="C9" i="52"/>
  <c r="B10" i="52"/>
  <c r="C10" i="52"/>
  <c r="B12" i="52"/>
  <c r="C12" i="52"/>
  <c r="B13" i="52"/>
  <c r="C13" i="52"/>
  <c r="B14" i="52"/>
  <c r="C14" i="52"/>
  <c r="B15" i="52"/>
  <c r="C15" i="52"/>
  <c r="B16" i="52"/>
  <c r="C16" i="52"/>
  <c r="B17" i="52"/>
  <c r="C17" i="52"/>
  <c r="B18" i="52"/>
  <c r="C18" i="52"/>
  <c r="B19" i="52"/>
  <c r="C19" i="52"/>
  <c r="B20" i="52"/>
  <c r="C20" i="52"/>
  <c r="B21" i="52"/>
  <c r="C21" i="52"/>
  <c r="B22" i="52"/>
  <c r="C22" i="52"/>
  <c r="B23" i="52"/>
  <c r="C23" i="52"/>
  <c r="B24" i="52"/>
  <c r="C24" i="52"/>
  <c r="B25" i="52"/>
  <c r="C25" i="52"/>
  <c r="B26" i="52"/>
  <c r="C26" i="52"/>
  <c r="B27" i="52"/>
  <c r="C27" i="52"/>
  <c r="B28" i="52"/>
  <c r="C28" i="52"/>
  <c r="B29" i="52"/>
  <c r="C29" i="52"/>
  <c r="B30" i="52"/>
  <c r="C30" i="52"/>
  <c r="B31" i="52"/>
  <c r="C31" i="52"/>
  <c r="B32" i="52"/>
  <c r="C32" i="52"/>
  <c r="B33" i="52"/>
  <c r="C33" i="52"/>
  <c r="B34" i="52"/>
  <c r="C34" i="52"/>
  <c r="B35" i="52"/>
  <c r="C35" i="52"/>
  <c r="B36" i="52"/>
  <c r="C36" i="52"/>
  <c r="B37" i="52"/>
  <c r="C37" i="52"/>
  <c r="B38" i="52"/>
  <c r="C38" i="52"/>
  <c r="B39" i="52"/>
  <c r="C39" i="52"/>
  <c r="B40" i="52"/>
  <c r="C40" i="52"/>
  <c r="B41" i="52"/>
  <c r="C41" i="52"/>
  <c r="B42" i="52"/>
  <c r="C42" i="52"/>
  <c r="B43" i="52"/>
  <c r="C43" i="52"/>
  <c r="B44" i="52"/>
  <c r="C44" i="52"/>
  <c r="B45" i="52"/>
  <c r="C45" i="52"/>
  <c r="B46" i="52"/>
  <c r="C46" i="52"/>
  <c r="B47" i="52"/>
  <c r="C47" i="52"/>
  <c r="B48" i="52"/>
  <c r="C48" i="52"/>
  <c r="B49" i="52"/>
  <c r="C49" i="52"/>
  <c r="B50" i="52"/>
  <c r="C50" i="52"/>
  <c r="B51" i="52"/>
  <c r="C51" i="52"/>
  <c r="B52" i="52"/>
  <c r="C52" i="52"/>
  <c r="B53" i="52"/>
  <c r="C53" i="52"/>
  <c r="B54" i="52"/>
  <c r="C54" i="52"/>
  <c r="B55" i="52"/>
  <c r="C55" i="52"/>
  <c r="B56" i="52"/>
  <c r="C56" i="52"/>
  <c r="B57" i="52"/>
  <c r="C57" i="52"/>
  <c r="B58" i="52"/>
  <c r="C58" i="52"/>
  <c r="B59" i="52"/>
  <c r="C59" i="52"/>
  <c r="B60" i="52"/>
  <c r="C60" i="52"/>
  <c r="B61" i="52"/>
  <c r="C61" i="52"/>
  <c r="B62" i="52"/>
  <c r="C62" i="52"/>
  <c r="B63" i="52"/>
  <c r="C63" i="52"/>
  <c r="Q70" i="51"/>
  <c r="Q72" i="51"/>
  <c r="Q73" i="51"/>
  <c r="Q74" i="51"/>
  <c r="Q76" i="51"/>
  <c r="Q77" i="51"/>
  <c r="Q78" i="51"/>
  <c r="Q79" i="51"/>
  <c r="Q80" i="51"/>
  <c r="Q81" i="51"/>
  <c r="Q82" i="51"/>
  <c r="Q83" i="51"/>
  <c r="Q84" i="51"/>
  <c r="Q85" i="51"/>
  <c r="Q86" i="51"/>
  <c r="Q87" i="51"/>
  <c r="Q88" i="51"/>
  <c r="Q89" i="51"/>
  <c r="Q90" i="51"/>
  <c r="Q91" i="51"/>
  <c r="Q92" i="51"/>
  <c r="Q93" i="51"/>
  <c r="Q94" i="51"/>
  <c r="Q95" i="51"/>
  <c r="Q96" i="51"/>
  <c r="Q97" i="51"/>
  <c r="Q98" i="51"/>
  <c r="Q99" i="51"/>
  <c r="Q100" i="51"/>
  <c r="Q101" i="51"/>
  <c r="Q102" i="51"/>
  <c r="Q103" i="51"/>
  <c r="Q104" i="51"/>
  <c r="Q105" i="51"/>
  <c r="Q106" i="51"/>
  <c r="Q107" i="51"/>
  <c r="Q108" i="51"/>
  <c r="Q109" i="51"/>
  <c r="Q110" i="51"/>
  <c r="Q111" i="51"/>
  <c r="Q112" i="51"/>
  <c r="Q113" i="51"/>
  <c r="Q114" i="51"/>
  <c r="Q115" i="51"/>
  <c r="Q116" i="51"/>
  <c r="Q117" i="51"/>
  <c r="Q118" i="51"/>
  <c r="Q119" i="51"/>
  <c r="Q120" i="51"/>
  <c r="Q121" i="51"/>
  <c r="Q122" i="51"/>
  <c r="Q123" i="51"/>
  <c r="Q124" i="51"/>
  <c r="Q125" i="51"/>
  <c r="Q126" i="51"/>
  <c r="Q127" i="51"/>
  <c r="B70" i="51"/>
  <c r="C70" i="51"/>
  <c r="B72" i="51"/>
  <c r="C72" i="51"/>
  <c r="B73" i="51"/>
  <c r="C73" i="51"/>
  <c r="B74" i="51"/>
  <c r="C74" i="51"/>
  <c r="B76" i="51"/>
  <c r="C76" i="51"/>
  <c r="B77" i="51"/>
  <c r="C77" i="51"/>
  <c r="B78" i="51"/>
  <c r="C78" i="51"/>
  <c r="B79" i="51"/>
  <c r="C79" i="51"/>
  <c r="B80" i="51"/>
  <c r="C80" i="51"/>
  <c r="B81" i="51"/>
  <c r="C81" i="51"/>
  <c r="B82" i="51"/>
  <c r="C82" i="51"/>
  <c r="B83" i="51"/>
  <c r="C83" i="51"/>
  <c r="B84" i="51"/>
  <c r="C84" i="51"/>
  <c r="B85" i="51"/>
  <c r="C85" i="51"/>
  <c r="B86" i="51"/>
  <c r="C86" i="51"/>
  <c r="B87" i="51"/>
  <c r="C87" i="51"/>
  <c r="B88" i="51"/>
  <c r="C88" i="51"/>
  <c r="B89" i="51"/>
  <c r="C89" i="51"/>
  <c r="B90" i="51"/>
  <c r="C90" i="51"/>
  <c r="B91" i="51"/>
  <c r="C91" i="51"/>
  <c r="B92" i="51"/>
  <c r="C92" i="51"/>
  <c r="B93" i="51"/>
  <c r="C93" i="51"/>
  <c r="B94" i="51"/>
  <c r="C94" i="51"/>
  <c r="B95" i="51"/>
  <c r="C95" i="51"/>
  <c r="B96" i="51"/>
  <c r="C96" i="51"/>
  <c r="B97" i="51"/>
  <c r="C97" i="51"/>
  <c r="B98" i="51"/>
  <c r="C98" i="51"/>
  <c r="B99" i="51"/>
  <c r="C99" i="51"/>
  <c r="B100" i="51"/>
  <c r="C100" i="51"/>
  <c r="B101" i="51"/>
  <c r="C101" i="51"/>
  <c r="B102" i="51"/>
  <c r="C102" i="51"/>
  <c r="B103" i="51"/>
  <c r="C103" i="51"/>
  <c r="B104" i="51"/>
  <c r="C104" i="51"/>
  <c r="B105" i="51"/>
  <c r="C105" i="51"/>
  <c r="B106" i="51"/>
  <c r="C106" i="51"/>
  <c r="B107" i="51"/>
  <c r="C107" i="51"/>
  <c r="B108" i="51"/>
  <c r="C108" i="51"/>
  <c r="B109" i="51"/>
  <c r="C109" i="51"/>
  <c r="B110" i="51"/>
  <c r="C110" i="51"/>
  <c r="B111" i="51"/>
  <c r="C111" i="51"/>
  <c r="B112" i="51"/>
  <c r="C112" i="51"/>
  <c r="B113" i="51"/>
  <c r="C113" i="51"/>
  <c r="B114" i="51"/>
  <c r="C114" i="51"/>
  <c r="B115" i="51"/>
  <c r="C115" i="51"/>
  <c r="B116" i="51"/>
  <c r="C116" i="51"/>
  <c r="B117" i="51"/>
  <c r="C117" i="51"/>
  <c r="B118" i="51"/>
  <c r="C118" i="51"/>
  <c r="B119" i="51"/>
  <c r="C119" i="51"/>
  <c r="B120" i="51"/>
  <c r="C120" i="51"/>
  <c r="B121" i="51"/>
  <c r="C121" i="51"/>
  <c r="B122" i="51"/>
  <c r="C122" i="51"/>
  <c r="B123" i="51"/>
  <c r="C123" i="51"/>
  <c r="B124" i="51"/>
  <c r="C124" i="51"/>
  <c r="B125" i="51"/>
  <c r="C125" i="51"/>
  <c r="B126" i="51"/>
  <c r="C126" i="51"/>
  <c r="B127" i="51"/>
  <c r="C127" i="51"/>
  <c r="Q6" i="51"/>
  <c r="Q8" i="51"/>
  <c r="Q9" i="51"/>
  <c r="Q10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26" i="51"/>
  <c r="Q27" i="51"/>
  <c r="Q28" i="51"/>
  <c r="Q29" i="51"/>
  <c r="Q30" i="51"/>
  <c r="Q31" i="51"/>
  <c r="Q32" i="51"/>
  <c r="Q33" i="51"/>
  <c r="Q34" i="51"/>
  <c r="Q35" i="51"/>
  <c r="Q36" i="51"/>
  <c r="Q37" i="51"/>
  <c r="Q38" i="51"/>
  <c r="Q39" i="51"/>
  <c r="Q40" i="51"/>
  <c r="Q41" i="51"/>
  <c r="Q42" i="51"/>
  <c r="Q43" i="51"/>
  <c r="Q44" i="51"/>
  <c r="Q45" i="51"/>
  <c r="Q46" i="51"/>
  <c r="Q47" i="51"/>
  <c r="Q48" i="51"/>
  <c r="Q49" i="51"/>
  <c r="Q50" i="51"/>
  <c r="Q51" i="51"/>
  <c r="Q52" i="51"/>
  <c r="Q53" i="51"/>
  <c r="Q54" i="51"/>
  <c r="Q55" i="51"/>
  <c r="Q56" i="51"/>
  <c r="Q57" i="51"/>
  <c r="Q58" i="51"/>
  <c r="Q59" i="51"/>
  <c r="Q60" i="51"/>
  <c r="Q61" i="51"/>
  <c r="Q62" i="51"/>
  <c r="Q63" i="51"/>
  <c r="B6" i="51"/>
  <c r="C6" i="51"/>
  <c r="B8" i="51"/>
  <c r="C8" i="51"/>
  <c r="B9" i="51"/>
  <c r="C9" i="51"/>
  <c r="B10" i="51"/>
  <c r="C10" i="51"/>
  <c r="B12" i="51"/>
  <c r="C12" i="51"/>
  <c r="B13" i="51"/>
  <c r="C13" i="51"/>
  <c r="B14" i="51"/>
  <c r="C14" i="51"/>
  <c r="B15" i="51"/>
  <c r="C15" i="51"/>
  <c r="B16" i="51"/>
  <c r="C16" i="51"/>
  <c r="B17" i="51"/>
  <c r="C17" i="51"/>
  <c r="B18" i="51"/>
  <c r="C18" i="51"/>
  <c r="B19" i="51"/>
  <c r="C19" i="51"/>
  <c r="B20" i="51"/>
  <c r="C20" i="51"/>
  <c r="B21" i="51"/>
  <c r="C21" i="51"/>
  <c r="B22" i="51"/>
  <c r="C22" i="51"/>
  <c r="B23" i="51"/>
  <c r="C23" i="51"/>
  <c r="B24" i="51"/>
  <c r="C24" i="51"/>
  <c r="B25" i="51"/>
  <c r="C25" i="51"/>
  <c r="B26" i="51"/>
  <c r="C26" i="51"/>
  <c r="B27" i="51"/>
  <c r="C27" i="51"/>
  <c r="B28" i="51"/>
  <c r="C28" i="51"/>
  <c r="B29" i="51"/>
  <c r="C29" i="51"/>
  <c r="B30" i="51"/>
  <c r="C30" i="51"/>
  <c r="B31" i="51"/>
  <c r="C31" i="51"/>
  <c r="B32" i="51"/>
  <c r="C32" i="51"/>
  <c r="B33" i="51"/>
  <c r="C33" i="51"/>
  <c r="B34" i="51"/>
  <c r="C34" i="51"/>
  <c r="B35" i="51"/>
  <c r="C35" i="51"/>
  <c r="B36" i="51"/>
  <c r="C36" i="51"/>
  <c r="B37" i="51"/>
  <c r="C37" i="51"/>
  <c r="B38" i="51"/>
  <c r="C38" i="51"/>
  <c r="B39" i="51"/>
  <c r="C39" i="51"/>
  <c r="B40" i="51"/>
  <c r="C40" i="51"/>
  <c r="B41" i="51"/>
  <c r="C41" i="51"/>
  <c r="B42" i="51"/>
  <c r="C42" i="51"/>
  <c r="B43" i="51"/>
  <c r="C43" i="51"/>
  <c r="B44" i="51"/>
  <c r="C44" i="51"/>
  <c r="B45" i="51"/>
  <c r="C45" i="51"/>
  <c r="B46" i="51"/>
  <c r="C46" i="51"/>
  <c r="B47" i="51"/>
  <c r="C47" i="51"/>
  <c r="B48" i="51"/>
  <c r="C48" i="51"/>
  <c r="B49" i="51"/>
  <c r="C49" i="51"/>
  <c r="B50" i="51"/>
  <c r="C50" i="51"/>
  <c r="B51" i="51"/>
  <c r="C51" i="51"/>
  <c r="B52" i="51"/>
  <c r="C52" i="51"/>
  <c r="B53" i="51"/>
  <c r="C53" i="51"/>
  <c r="B54" i="51"/>
  <c r="C54" i="51"/>
  <c r="B55" i="51"/>
  <c r="C55" i="51"/>
  <c r="B56" i="51"/>
  <c r="C56" i="51"/>
  <c r="B57" i="51"/>
  <c r="C57" i="51"/>
  <c r="B58" i="51"/>
  <c r="C58" i="51"/>
  <c r="B59" i="51"/>
  <c r="C59" i="51"/>
  <c r="B60" i="51"/>
  <c r="C60" i="51"/>
  <c r="B61" i="51"/>
  <c r="C61" i="51"/>
  <c r="B62" i="51"/>
  <c r="C62" i="51"/>
  <c r="B63" i="51"/>
  <c r="C63" i="51"/>
  <c r="Q6" i="50"/>
  <c r="Q8" i="50"/>
  <c r="Q9" i="50"/>
  <c r="Q10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30" i="50"/>
  <c r="Q31" i="50"/>
  <c r="Q32" i="50"/>
  <c r="Q33" i="50"/>
  <c r="Q34" i="50"/>
  <c r="Q35" i="50"/>
  <c r="Q36" i="50"/>
  <c r="Q37" i="50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Q59" i="50"/>
  <c r="Q60" i="50"/>
  <c r="Q61" i="50"/>
  <c r="Q62" i="50"/>
  <c r="Q63" i="50"/>
  <c r="B6" i="50"/>
  <c r="C6" i="50"/>
  <c r="B8" i="50"/>
  <c r="C8" i="50"/>
  <c r="B9" i="50"/>
  <c r="C9" i="50"/>
  <c r="B10" i="50"/>
  <c r="C10" i="50"/>
  <c r="B12" i="50"/>
  <c r="C12" i="50"/>
  <c r="B13" i="50"/>
  <c r="C13" i="50"/>
  <c r="B14" i="50"/>
  <c r="C14" i="50"/>
  <c r="B15" i="50"/>
  <c r="C15" i="50"/>
  <c r="B16" i="50"/>
  <c r="C16" i="50"/>
  <c r="B17" i="50"/>
  <c r="C17" i="50"/>
  <c r="B18" i="50"/>
  <c r="C18" i="50"/>
  <c r="B19" i="50"/>
  <c r="C19" i="50"/>
  <c r="B20" i="50"/>
  <c r="C20" i="50"/>
  <c r="B21" i="50"/>
  <c r="C21" i="50"/>
  <c r="B22" i="50"/>
  <c r="C22" i="50"/>
  <c r="B23" i="50"/>
  <c r="C23" i="50"/>
  <c r="B24" i="50"/>
  <c r="C24" i="50"/>
  <c r="B25" i="50"/>
  <c r="C25" i="50"/>
  <c r="B26" i="50"/>
  <c r="C26" i="50"/>
  <c r="B27" i="50"/>
  <c r="C27" i="50"/>
  <c r="B28" i="50"/>
  <c r="C28" i="50"/>
  <c r="B29" i="50"/>
  <c r="C29" i="50"/>
  <c r="B30" i="50"/>
  <c r="C30" i="50"/>
  <c r="B31" i="50"/>
  <c r="C31" i="50"/>
  <c r="B32" i="50"/>
  <c r="C32" i="50"/>
  <c r="B33" i="50"/>
  <c r="C33" i="50"/>
  <c r="B34" i="50"/>
  <c r="C34" i="50"/>
  <c r="B35" i="50"/>
  <c r="C35" i="50"/>
  <c r="B36" i="50"/>
  <c r="C36" i="50"/>
  <c r="B37" i="50"/>
  <c r="C37" i="50"/>
  <c r="B38" i="50"/>
  <c r="C38" i="50"/>
  <c r="B39" i="50"/>
  <c r="C39" i="50"/>
  <c r="B40" i="50"/>
  <c r="C40" i="50"/>
  <c r="B41" i="50"/>
  <c r="C41" i="50"/>
  <c r="B42" i="50"/>
  <c r="C42" i="50"/>
  <c r="B43" i="50"/>
  <c r="C43" i="50"/>
  <c r="B44" i="50"/>
  <c r="C44" i="50"/>
  <c r="B45" i="50"/>
  <c r="C45" i="50"/>
  <c r="B46" i="50"/>
  <c r="C46" i="50"/>
  <c r="B47" i="50"/>
  <c r="C47" i="50"/>
  <c r="B48" i="50"/>
  <c r="C48" i="50"/>
  <c r="B49" i="50"/>
  <c r="C49" i="50"/>
  <c r="B50" i="50"/>
  <c r="C50" i="50"/>
  <c r="B51" i="50"/>
  <c r="C51" i="50"/>
  <c r="B52" i="50"/>
  <c r="C52" i="50"/>
  <c r="B53" i="50"/>
  <c r="C53" i="50"/>
  <c r="B54" i="50"/>
  <c r="C54" i="50"/>
  <c r="B55" i="50"/>
  <c r="C55" i="50"/>
  <c r="B56" i="50"/>
  <c r="C56" i="50"/>
  <c r="B57" i="50"/>
  <c r="C57" i="50"/>
  <c r="B58" i="50"/>
  <c r="C58" i="50"/>
  <c r="B59" i="50"/>
  <c r="C59" i="50"/>
  <c r="B60" i="50"/>
  <c r="C60" i="50"/>
  <c r="B61" i="50"/>
  <c r="C61" i="50"/>
  <c r="B62" i="50"/>
  <c r="C62" i="50"/>
  <c r="B63" i="50"/>
  <c r="C63" i="50"/>
  <c r="EC8" i="44"/>
  <c r="EC39" i="44"/>
  <c r="EC40" i="44"/>
  <c r="EC41" i="44"/>
  <c r="EC42" i="44"/>
  <c r="EC43" i="44"/>
  <c r="EC44" i="44"/>
  <c r="EC45" i="44"/>
  <c r="EC46" i="44"/>
  <c r="EC47" i="44"/>
  <c r="EC48" i="44"/>
  <c r="EC49" i="44"/>
  <c r="EC50" i="44"/>
  <c r="EC51" i="44"/>
  <c r="EC52" i="44"/>
  <c r="EC53" i="44"/>
  <c r="EC54" i="44"/>
  <c r="EC55" i="44"/>
  <c r="EC56" i="44"/>
  <c r="EC57" i="44"/>
  <c r="EC58" i="44"/>
  <c r="EC59" i="44"/>
  <c r="EC60" i="44"/>
  <c r="EC61" i="44"/>
  <c r="EC62" i="44"/>
  <c r="EC63" i="44"/>
  <c r="EC64" i="44"/>
  <c r="EC65" i="44"/>
  <c r="EC7" i="44"/>
  <c r="Y153" i="44"/>
  <c r="Y152" i="44"/>
  <c r="EB7" i="44"/>
  <c r="BC8" i="44"/>
  <c r="BC39" i="44"/>
  <c r="BC40" i="44"/>
  <c r="BC41" i="44"/>
  <c r="BC42" i="44"/>
  <c r="BC43" i="44"/>
  <c r="BC44" i="44"/>
  <c r="BC45" i="44"/>
  <c r="BC46" i="44"/>
  <c r="BC47" i="44"/>
  <c r="BC48" i="44"/>
  <c r="BC49" i="44"/>
  <c r="BC50" i="44"/>
  <c r="BC51" i="44"/>
  <c r="BC52" i="44"/>
  <c r="BC53" i="44"/>
  <c r="BC54" i="44"/>
  <c r="BC55" i="44"/>
  <c r="BC56" i="44"/>
  <c r="BC57" i="44"/>
  <c r="BC58" i="44"/>
  <c r="BC59" i="44"/>
  <c r="BC60" i="44"/>
  <c r="BC61" i="44"/>
  <c r="BC62" i="44"/>
  <c r="BC63" i="44"/>
  <c r="BC64" i="44"/>
  <c r="BC65" i="44"/>
  <c r="BC7" i="44"/>
  <c r="BB7" i="44"/>
  <c r="Y41" i="44"/>
  <c r="Y40" i="44"/>
  <c r="EN7" i="44"/>
  <c r="EN8" i="44"/>
  <c r="EN39" i="44"/>
  <c r="EN40" i="44"/>
  <c r="EN41" i="44"/>
  <c r="EN42" i="44"/>
  <c r="EN43" i="44"/>
  <c r="EN44" i="44"/>
  <c r="EN45" i="44"/>
  <c r="EN46" i="44"/>
  <c r="EN47" i="44"/>
  <c r="EN48" i="44"/>
  <c r="EN49" i="44"/>
  <c r="EN50" i="44"/>
  <c r="EN51" i="44"/>
  <c r="EN52" i="44"/>
  <c r="EN53" i="44"/>
  <c r="EN54" i="44"/>
  <c r="EN55" i="44"/>
  <c r="EN56" i="44"/>
  <c r="EN57" i="44"/>
  <c r="EN58" i="44"/>
  <c r="EN59" i="44"/>
  <c r="EN60" i="44"/>
  <c r="EN61" i="44"/>
  <c r="EN62" i="44"/>
  <c r="EN63" i="44"/>
  <c r="EN64" i="44"/>
  <c r="EN65" i="44"/>
  <c r="EE7" i="44"/>
  <c r="Y172" i="44"/>
  <c r="Y171" i="44"/>
  <c r="EZ46" i="44"/>
  <c r="AI46" i="44"/>
  <c r="AJ46" i="44"/>
  <c r="AK46" i="44"/>
  <c r="AM46" i="44"/>
  <c r="AN46" i="44"/>
  <c r="AP46" i="44"/>
  <c r="AQ46" i="44"/>
  <c r="AR46" i="44"/>
  <c r="AT46" i="44"/>
  <c r="AU46" i="44"/>
  <c r="AW46" i="44"/>
  <c r="AX46" i="44"/>
  <c r="AY46" i="44"/>
  <c r="AZ46" i="44"/>
  <c r="BA46" i="44"/>
  <c r="BB46" i="44"/>
  <c r="BI46" i="44"/>
  <c r="BJ46" i="44"/>
  <c r="BK46" i="44"/>
  <c r="BL46" i="44"/>
  <c r="BM46" i="44"/>
  <c r="BN46" i="44"/>
  <c r="BP46" i="44"/>
  <c r="BQ46" i="44"/>
  <c r="BS46" i="44"/>
  <c r="BT46" i="44"/>
  <c r="BU46" i="44"/>
  <c r="BV46" i="44"/>
  <c r="BW46" i="44"/>
  <c r="BX46" i="44"/>
  <c r="BY46" i="44"/>
  <c r="BZ46" i="44"/>
  <c r="CA46" i="44"/>
  <c r="CB46" i="44"/>
  <c r="CC46" i="44"/>
  <c r="CD46" i="44"/>
  <c r="CF46" i="44"/>
  <c r="CG46" i="44"/>
  <c r="CH46" i="44"/>
  <c r="CI46" i="44"/>
  <c r="CJ46" i="44"/>
  <c r="CK46" i="44"/>
  <c r="CL46" i="44"/>
  <c r="CM46" i="44"/>
  <c r="CN46" i="44"/>
  <c r="CO46" i="44"/>
  <c r="CQ46" i="44"/>
  <c r="CW46" i="44"/>
  <c r="CX46" i="44"/>
  <c r="CY46" i="44"/>
  <c r="CZ46" i="44"/>
  <c r="DB46" i="44"/>
  <c r="DC46" i="44"/>
  <c r="DD46" i="44"/>
  <c r="DF46" i="44"/>
  <c r="DG46" i="44"/>
  <c r="DH46" i="44"/>
  <c r="DI46" i="44"/>
  <c r="DJ46" i="44"/>
  <c r="DK46" i="44"/>
  <c r="DL46" i="44"/>
  <c r="DM46" i="44"/>
  <c r="DN46" i="44"/>
  <c r="DO46" i="44"/>
  <c r="DP46" i="44"/>
  <c r="DR46" i="44"/>
  <c r="DS46" i="44"/>
  <c r="DT46" i="44"/>
  <c r="DU46" i="44"/>
  <c r="DV46" i="44"/>
  <c r="DW46" i="44"/>
  <c r="DX46" i="44"/>
  <c r="DY46" i="44"/>
  <c r="DZ46" i="44"/>
  <c r="EA46" i="44"/>
  <c r="EB46" i="44"/>
  <c r="ED46" i="44"/>
  <c r="EE46" i="44"/>
  <c r="EF46" i="44"/>
  <c r="EG46" i="44"/>
  <c r="EH46" i="44"/>
  <c r="EK46" i="44"/>
  <c r="EL46" i="44"/>
  <c r="EQ46" i="44"/>
  <c r="ER46" i="44"/>
  <c r="ES46" i="44"/>
  <c r="ET46" i="44"/>
  <c r="EU46" i="44"/>
  <c r="EV46" i="44"/>
  <c r="EW46" i="44"/>
  <c r="EX46" i="44"/>
  <c r="FF46" i="44"/>
  <c r="FG46" i="44"/>
  <c r="FH46" i="44"/>
  <c r="A600" i="44"/>
  <c r="A599" i="44"/>
  <c r="A598" i="44"/>
  <c r="A597" i="44"/>
  <c r="A596" i="44"/>
  <c r="A595" i="44"/>
  <c r="A594" i="44"/>
  <c r="A593" i="44"/>
  <c r="A592" i="44"/>
  <c r="A591" i="44"/>
  <c r="A590" i="44"/>
  <c r="A589" i="44"/>
  <c r="A588" i="44"/>
  <c r="A587" i="44"/>
  <c r="A586" i="44"/>
  <c r="A585" i="44"/>
  <c r="A584" i="44"/>
  <c r="A583" i="44"/>
  <c r="A582" i="44"/>
  <c r="A581" i="44"/>
  <c r="A580" i="44"/>
  <c r="A579" i="44"/>
  <c r="A578" i="44"/>
  <c r="A577" i="44"/>
  <c r="A576" i="44"/>
  <c r="A575" i="44"/>
  <c r="A574" i="44"/>
  <c r="A573" i="44"/>
  <c r="A572" i="44"/>
  <c r="A571" i="44"/>
  <c r="A570" i="44"/>
  <c r="A569" i="44"/>
  <c r="A568" i="44"/>
  <c r="A567" i="44"/>
  <c r="A566" i="44"/>
  <c r="A565" i="44"/>
  <c r="A564" i="44"/>
  <c r="A563" i="44"/>
  <c r="A562" i="44"/>
  <c r="A561" i="44"/>
  <c r="A560" i="44"/>
  <c r="A559" i="44"/>
  <c r="A558" i="44"/>
  <c r="A557" i="44"/>
  <c r="A556" i="44"/>
  <c r="A555" i="44"/>
  <c r="A554" i="44"/>
  <c r="A553" i="44"/>
  <c r="A552" i="44"/>
  <c r="A551" i="44"/>
  <c r="A550" i="44"/>
  <c r="A549" i="44"/>
  <c r="A548" i="44"/>
  <c r="A547" i="44"/>
  <c r="A546" i="44"/>
  <c r="A545" i="44"/>
  <c r="A544" i="44"/>
  <c r="A543" i="44"/>
  <c r="A542" i="44"/>
  <c r="A541" i="44"/>
  <c r="A540" i="44"/>
  <c r="A539" i="44"/>
  <c r="A538" i="44"/>
  <c r="A537" i="44"/>
  <c r="A536" i="44"/>
  <c r="A535" i="44"/>
  <c r="A534" i="44"/>
  <c r="A533" i="44"/>
  <c r="A532" i="44"/>
  <c r="A531" i="44"/>
  <c r="A530" i="44"/>
  <c r="A529" i="44"/>
  <c r="A528" i="44"/>
  <c r="A527" i="44"/>
  <c r="A526" i="44"/>
  <c r="A525" i="44"/>
  <c r="A524" i="44"/>
  <c r="A523" i="44"/>
  <c r="A522" i="44"/>
  <c r="A521" i="44"/>
  <c r="A520" i="44"/>
  <c r="A519" i="44"/>
  <c r="A518" i="44"/>
  <c r="A517" i="44"/>
  <c r="A516" i="44"/>
  <c r="A515" i="44"/>
  <c r="A514" i="44"/>
  <c r="A513" i="44"/>
  <c r="A512" i="44"/>
  <c r="A511" i="44"/>
  <c r="A510" i="44"/>
  <c r="A509" i="44"/>
  <c r="A508" i="44"/>
  <c r="A507" i="44"/>
  <c r="A506" i="44"/>
  <c r="A505" i="44"/>
  <c r="A504" i="44"/>
  <c r="A503" i="44"/>
  <c r="A502" i="44"/>
  <c r="A501" i="44"/>
  <c r="A500" i="44"/>
  <c r="A499" i="44"/>
  <c r="A498" i="44"/>
  <c r="A497" i="44"/>
  <c r="A496" i="44"/>
  <c r="A495" i="44"/>
  <c r="A494" i="44"/>
  <c r="A493" i="44"/>
  <c r="A492" i="44"/>
  <c r="A491" i="44"/>
  <c r="A490" i="44"/>
  <c r="A489" i="44"/>
  <c r="A488" i="44"/>
  <c r="A487" i="44"/>
  <c r="A486" i="44"/>
  <c r="A485" i="44"/>
  <c r="A484" i="44"/>
  <c r="A483" i="44"/>
  <c r="A482" i="44"/>
  <c r="A481" i="44"/>
  <c r="A480" i="44"/>
  <c r="A479" i="44"/>
  <c r="A478" i="44"/>
  <c r="A477" i="44"/>
  <c r="A476" i="44"/>
  <c r="A475" i="44"/>
  <c r="A474" i="44"/>
  <c r="A473" i="44"/>
  <c r="A472" i="44"/>
  <c r="A471" i="44"/>
  <c r="A470" i="44"/>
  <c r="A469" i="44"/>
  <c r="A468" i="44"/>
  <c r="A467" i="44"/>
  <c r="A466" i="44"/>
  <c r="A465" i="44"/>
  <c r="A464" i="44"/>
  <c r="A463" i="44"/>
  <c r="A462" i="44"/>
  <c r="A461" i="44"/>
  <c r="A460" i="44"/>
  <c r="A459" i="44"/>
  <c r="A458" i="44"/>
  <c r="A457" i="44"/>
  <c r="A456" i="44"/>
  <c r="A455" i="44"/>
  <c r="A454" i="44"/>
  <c r="A453" i="44"/>
  <c r="A452" i="44"/>
  <c r="A451" i="44"/>
  <c r="A450" i="44"/>
  <c r="A449" i="44"/>
  <c r="A448" i="44"/>
  <c r="A447" i="44"/>
  <c r="A446" i="44"/>
  <c r="A445" i="44"/>
  <c r="A444" i="44"/>
  <c r="A443" i="44"/>
  <c r="A442" i="44"/>
  <c r="A441" i="44"/>
  <c r="A440" i="44"/>
  <c r="A439" i="44"/>
  <c r="A438" i="44"/>
  <c r="A437" i="44"/>
  <c r="A436" i="44"/>
  <c r="A435" i="44"/>
  <c r="A434" i="44"/>
  <c r="A433" i="44"/>
  <c r="A432" i="44"/>
  <c r="A431" i="44"/>
  <c r="A430" i="44"/>
  <c r="A429" i="44"/>
  <c r="A428" i="44"/>
  <c r="A427" i="44"/>
  <c r="A426" i="44"/>
  <c r="A425" i="44"/>
  <c r="A424" i="44"/>
  <c r="A423" i="44"/>
  <c r="A422" i="44"/>
  <c r="A421" i="44"/>
  <c r="A420" i="44"/>
  <c r="A419" i="44"/>
  <c r="A418" i="44"/>
  <c r="A417" i="44"/>
  <c r="A416" i="44"/>
  <c r="A415" i="44"/>
  <c r="A414" i="44"/>
  <c r="A413" i="44"/>
  <c r="A412" i="44"/>
  <c r="A411" i="44"/>
  <c r="A410" i="44"/>
  <c r="A409" i="44"/>
  <c r="A408" i="44"/>
  <c r="A407" i="44"/>
  <c r="A406" i="44"/>
  <c r="A405" i="44"/>
  <c r="A404" i="44"/>
  <c r="A403" i="44"/>
  <c r="A402" i="44"/>
  <c r="A401" i="44"/>
  <c r="A400" i="44"/>
  <c r="A399" i="44"/>
  <c r="A398" i="44"/>
  <c r="A397" i="44"/>
  <c r="A396" i="44"/>
  <c r="A395" i="44"/>
  <c r="A394" i="44"/>
  <c r="A393" i="44"/>
  <c r="A392" i="44"/>
  <c r="A391" i="44"/>
  <c r="A390" i="44"/>
  <c r="A389" i="44"/>
  <c r="A388" i="44"/>
  <c r="A387" i="44"/>
  <c r="A386" i="44"/>
  <c r="A385" i="44"/>
  <c r="A384" i="44"/>
  <c r="A383" i="44"/>
  <c r="A382" i="44"/>
  <c r="A381" i="44"/>
  <c r="A380" i="44"/>
  <c r="A379" i="44"/>
  <c r="A378" i="44"/>
  <c r="A377" i="44"/>
  <c r="A376" i="44"/>
  <c r="A375" i="44"/>
  <c r="A374" i="44"/>
  <c r="A373" i="44"/>
  <c r="A372" i="44"/>
  <c r="A371" i="44"/>
  <c r="A370" i="44"/>
  <c r="A369" i="44"/>
  <c r="A368" i="44"/>
  <c r="A367" i="44"/>
  <c r="A366" i="44"/>
  <c r="A365" i="44"/>
  <c r="A364" i="44"/>
  <c r="A363" i="44"/>
  <c r="A362" i="44"/>
  <c r="A361" i="44"/>
  <c r="A360" i="44"/>
  <c r="A359" i="44"/>
  <c r="A358" i="44"/>
  <c r="A357" i="44"/>
  <c r="A356" i="44"/>
  <c r="A355" i="44"/>
  <c r="A354" i="44"/>
  <c r="A353" i="44"/>
  <c r="A352" i="44"/>
  <c r="A351" i="44"/>
  <c r="A350" i="44"/>
  <c r="A349" i="44"/>
  <c r="A348" i="44"/>
  <c r="A347" i="44"/>
  <c r="A346" i="44"/>
  <c r="A345" i="44"/>
  <c r="A344" i="44"/>
  <c r="A343" i="44"/>
  <c r="A342" i="44"/>
  <c r="A341" i="44"/>
  <c r="A340" i="44"/>
  <c r="A339" i="44"/>
  <c r="A338" i="44"/>
  <c r="A337" i="44"/>
  <c r="A336" i="44"/>
  <c r="A335" i="44"/>
  <c r="A334" i="44"/>
  <c r="A333" i="44"/>
  <c r="A332" i="44"/>
  <c r="A331" i="44"/>
  <c r="A330" i="44"/>
  <c r="A329" i="44"/>
  <c r="A328" i="44"/>
  <c r="A327" i="44"/>
  <c r="A326" i="44"/>
  <c r="A325" i="44"/>
  <c r="A324" i="44"/>
  <c r="A323" i="44"/>
  <c r="A322" i="44"/>
  <c r="A321" i="44"/>
  <c r="A320" i="44"/>
  <c r="A319" i="44"/>
  <c r="A318" i="44"/>
  <c r="A317" i="44"/>
  <c r="A316" i="44"/>
  <c r="A315" i="44"/>
  <c r="A314" i="44"/>
  <c r="A313" i="44"/>
  <c r="A312" i="44"/>
  <c r="A311" i="44"/>
  <c r="A310" i="44"/>
  <c r="A309" i="44"/>
  <c r="A308" i="44"/>
  <c r="A307" i="44"/>
  <c r="A306" i="44"/>
  <c r="A305" i="44"/>
  <c r="A304" i="44"/>
  <c r="A303" i="44"/>
  <c r="A302" i="44"/>
  <c r="A301" i="44"/>
  <c r="A300" i="44"/>
  <c r="A299" i="44"/>
  <c r="A298" i="44"/>
  <c r="A297" i="44"/>
  <c r="A296" i="44"/>
  <c r="A295" i="44"/>
  <c r="A294" i="44"/>
  <c r="A293" i="44"/>
  <c r="A292" i="44"/>
  <c r="A291" i="44"/>
  <c r="A290" i="44"/>
  <c r="A289" i="44"/>
  <c r="A288" i="44"/>
  <c r="A287" i="44"/>
  <c r="A286" i="44"/>
  <c r="A285" i="44"/>
  <c r="A284" i="44"/>
  <c r="A283" i="44"/>
  <c r="A282" i="44"/>
  <c r="A281" i="44"/>
  <c r="A280" i="44"/>
  <c r="A279" i="44"/>
  <c r="A278" i="44"/>
  <c r="A277" i="44"/>
  <c r="A276" i="44"/>
  <c r="A275" i="44"/>
  <c r="A274" i="44"/>
  <c r="A273" i="44"/>
  <c r="A272" i="44"/>
  <c r="CB7" i="44"/>
  <c r="AB46" i="44" l="1"/>
  <c r="EN66" i="44"/>
  <c r="BC66" i="44"/>
  <c r="EC66" i="44"/>
  <c r="EO46" i="44"/>
  <c r="AO46" i="44"/>
  <c r="BD46" i="44"/>
  <c r="AD44" i="44"/>
  <c r="AC44" i="44"/>
  <c r="AA44" i="44"/>
  <c r="AH46" i="44"/>
  <c r="Z44" i="44"/>
  <c r="CE46" i="44"/>
  <c r="FI46" i="44"/>
  <c r="EY46" i="44"/>
  <c r="CP46" i="44"/>
  <c r="AV46" i="44"/>
  <c r="DE46" i="44"/>
  <c r="EI46" i="44"/>
  <c r="DA46" i="44"/>
  <c r="AL46" i="44"/>
  <c r="O160" i="60"/>
  <c r="O161" i="60"/>
  <c r="O162" i="60"/>
  <c r="O163" i="60"/>
  <c r="O154" i="60"/>
  <c r="O153" i="60"/>
  <c r="O150" i="60"/>
  <c r="B154" i="60"/>
  <c r="B153" i="60"/>
  <c r="B150" i="60"/>
  <c r="B144" i="60"/>
  <c r="B141" i="60"/>
  <c r="B140" i="60"/>
  <c r="B139" i="60"/>
  <c r="B138" i="60"/>
  <c r="B137" i="60"/>
  <c r="B136" i="60"/>
  <c r="B135" i="60"/>
  <c r="B134" i="60"/>
  <c r="B125" i="60"/>
  <c r="B120" i="60"/>
  <c r="B119" i="60"/>
  <c r="B118" i="60"/>
  <c r="B117" i="60"/>
  <c r="B116" i="60"/>
  <c r="B115" i="60"/>
  <c r="B114" i="60"/>
  <c r="B113" i="60"/>
  <c r="B112" i="60"/>
  <c r="B111" i="60"/>
  <c r="B110" i="60"/>
  <c r="B109" i="60"/>
  <c r="B108" i="60"/>
  <c r="B106" i="60"/>
  <c r="B102" i="60"/>
  <c r="B101" i="60"/>
  <c r="B100" i="60"/>
  <c r="B99" i="60"/>
  <c r="B98" i="60"/>
  <c r="B97" i="60"/>
  <c r="B96" i="60"/>
  <c r="B95" i="60"/>
  <c r="B94" i="60"/>
  <c r="B93" i="60"/>
  <c r="B92" i="60"/>
  <c r="B89" i="60"/>
  <c r="B88" i="60"/>
  <c r="B87" i="60"/>
  <c r="B84" i="60"/>
  <c r="B83" i="60"/>
  <c r="B82" i="60"/>
  <c r="B79" i="60"/>
  <c r="B73" i="60"/>
  <c r="B70" i="60"/>
  <c r="B69" i="60"/>
  <c r="B68" i="60"/>
  <c r="B67" i="60"/>
  <c r="B66" i="60"/>
  <c r="B65" i="60"/>
  <c r="B64" i="60"/>
  <c r="B63" i="60"/>
  <c r="B62" i="60"/>
  <c r="B61" i="60"/>
  <c r="B58" i="60"/>
  <c r="B57" i="60"/>
  <c r="B56" i="60"/>
  <c r="B55" i="60"/>
  <c r="B54" i="60"/>
  <c r="B53" i="60"/>
  <c r="B52" i="60"/>
  <c r="B51" i="60"/>
  <c r="B50" i="60"/>
  <c r="B49" i="60"/>
  <c r="B48" i="60"/>
  <c r="B47" i="60"/>
  <c r="B45" i="60"/>
  <c r="B44" i="60"/>
  <c r="B42" i="60"/>
  <c r="B41" i="60"/>
  <c r="B40" i="60"/>
  <c r="B39" i="60"/>
  <c r="B38" i="60"/>
  <c r="B37" i="60"/>
  <c r="B31" i="60"/>
  <c r="B30" i="60"/>
  <c r="B29" i="60"/>
  <c r="B28" i="60"/>
  <c r="B26" i="60"/>
  <c r="B25" i="60"/>
  <c r="B21" i="60"/>
  <c r="B20" i="60"/>
  <c r="B19" i="60"/>
  <c r="B18" i="60"/>
  <c r="B17" i="60"/>
  <c r="B14" i="60"/>
  <c r="B13" i="60"/>
  <c r="B10" i="60"/>
  <c r="B9" i="60"/>
  <c r="B8" i="60"/>
  <c r="P5" i="53"/>
  <c r="O155" i="60" l="1"/>
  <c r="O164" i="60"/>
  <c r="Y69" i="44"/>
  <c r="BV8" i="44"/>
  <c r="BV39" i="44"/>
  <c r="BV40" i="44"/>
  <c r="BV41" i="44"/>
  <c r="BV42" i="44"/>
  <c r="BV43" i="44"/>
  <c r="BV44" i="44"/>
  <c r="BV45" i="44"/>
  <c r="BV47" i="44"/>
  <c r="BV48" i="44"/>
  <c r="BV49" i="44"/>
  <c r="BV50" i="44"/>
  <c r="BV51" i="44"/>
  <c r="BV52" i="44"/>
  <c r="BV53" i="44"/>
  <c r="BV54" i="44"/>
  <c r="BV55" i="44"/>
  <c r="BV56" i="44"/>
  <c r="BV57" i="44"/>
  <c r="BV58" i="44"/>
  <c r="BV59" i="44"/>
  <c r="BV60" i="44"/>
  <c r="BV61" i="44"/>
  <c r="BV62" i="44"/>
  <c r="BV63" i="44"/>
  <c r="BV64" i="44"/>
  <c r="BV65" i="44"/>
  <c r="BV7" i="44"/>
  <c r="F65" i="52"/>
  <c r="G66" i="50"/>
  <c r="Q69" i="51"/>
  <c r="BV66" i="44" l="1"/>
  <c r="C128" i="60"/>
  <c r="D65" i="54"/>
  <c r="D65" i="53"/>
  <c r="D65" i="52"/>
  <c r="D128" i="51"/>
  <c r="BU7" i="44" l="1"/>
  <c r="DS8" i="44"/>
  <c r="DS39" i="44"/>
  <c r="DS40" i="44"/>
  <c r="DS41" i="44"/>
  <c r="DS42" i="44"/>
  <c r="DS43" i="44"/>
  <c r="DS44" i="44"/>
  <c r="DS45" i="44"/>
  <c r="DS47" i="44"/>
  <c r="DS48" i="44"/>
  <c r="DS49" i="44"/>
  <c r="DS50" i="44"/>
  <c r="DS51" i="44"/>
  <c r="DS52" i="44"/>
  <c r="DS53" i="44"/>
  <c r="DS54" i="44"/>
  <c r="DS55" i="44"/>
  <c r="DS56" i="44"/>
  <c r="DS57" i="44"/>
  <c r="DS58" i="44"/>
  <c r="DS59" i="44"/>
  <c r="DS60" i="44"/>
  <c r="DS61" i="44"/>
  <c r="DS62" i="44"/>
  <c r="DS63" i="44"/>
  <c r="DS64" i="44"/>
  <c r="DS65" i="44"/>
  <c r="DS7" i="44"/>
  <c r="DR7" i="44"/>
  <c r="Y151" i="44"/>
  <c r="Y68" i="44"/>
  <c r="C5" i="59"/>
  <c r="Q70" i="59"/>
  <c r="C70" i="59"/>
  <c r="B70" i="59"/>
  <c r="Q5" i="59"/>
  <c r="B5" i="59"/>
  <c r="G66" i="58"/>
  <c r="C5" i="58"/>
  <c r="Q5" i="58"/>
  <c r="B5" i="58"/>
  <c r="F64" i="55"/>
  <c r="D130" i="54"/>
  <c r="Q5" i="57"/>
  <c r="C5" i="57"/>
  <c r="B5" i="57"/>
  <c r="C67" i="56"/>
  <c r="Q67" i="56"/>
  <c r="B67" i="56"/>
  <c r="Q5" i="56"/>
  <c r="C5" i="56"/>
  <c r="B5" i="56"/>
  <c r="Q5" i="55"/>
  <c r="C5" i="55"/>
  <c r="B5" i="55"/>
  <c r="C265" i="54"/>
  <c r="Q265" i="54"/>
  <c r="B265" i="54"/>
  <c r="Q200" i="54"/>
  <c r="C200" i="54"/>
  <c r="B200" i="54"/>
  <c r="Q135" i="54"/>
  <c r="C135" i="54"/>
  <c r="B135" i="54"/>
  <c r="Q70" i="54"/>
  <c r="C70" i="54"/>
  <c r="B70" i="54"/>
  <c r="C5" i="54"/>
  <c r="Q5" i="54"/>
  <c r="B5" i="54"/>
  <c r="C5" i="53"/>
  <c r="Q5" i="53"/>
  <c r="B5" i="53"/>
  <c r="Q70" i="52"/>
  <c r="C70" i="52"/>
  <c r="B70" i="52"/>
  <c r="B5" i="52"/>
  <c r="Q5" i="52"/>
  <c r="C5" i="52"/>
  <c r="C69" i="51"/>
  <c r="B69" i="51"/>
  <c r="Q5" i="51"/>
  <c r="C5" i="51"/>
  <c r="B5" i="51"/>
  <c r="C5" i="50"/>
  <c r="Q5" i="50"/>
  <c r="B5" i="50"/>
  <c r="C155" i="60"/>
  <c r="O128" i="60"/>
  <c r="J130" i="59"/>
  <c r="I130" i="59"/>
  <c r="H130" i="59"/>
  <c r="G130" i="59"/>
  <c r="F130" i="59"/>
  <c r="E130" i="59"/>
  <c r="D130" i="59"/>
  <c r="E65" i="59"/>
  <c r="D65" i="59"/>
  <c r="J66" i="58"/>
  <c r="I66" i="58"/>
  <c r="H66" i="58"/>
  <c r="F66" i="58"/>
  <c r="E66" i="58"/>
  <c r="D66" i="58"/>
  <c r="J64" i="57"/>
  <c r="I64" i="57"/>
  <c r="H64" i="57"/>
  <c r="G64" i="57"/>
  <c r="F64" i="57"/>
  <c r="E64" i="57"/>
  <c r="D64" i="57"/>
  <c r="O124" i="56"/>
  <c r="J124" i="56"/>
  <c r="I124" i="56"/>
  <c r="H124" i="56"/>
  <c r="G124" i="56"/>
  <c r="F124" i="56"/>
  <c r="E124" i="56"/>
  <c r="D124" i="56"/>
  <c r="O62" i="56"/>
  <c r="E62" i="56"/>
  <c r="D62" i="56"/>
  <c r="O64" i="55"/>
  <c r="J64" i="55"/>
  <c r="I64" i="55"/>
  <c r="H64" i="55"/>
  <c r="G64" i="55"/>
  <c r="E64" i="55"/>
  <c r="D64" i="55"/>
  <c r="J325" i="54"/>
  <c r="I325" i="54"/>
  <c r="H325" i="54"/>
  <c r="G325" i="54"/>
  <c r="F325" i="54"/>
  <c r="E325" i="54"/>
  <c r="D325" i="54"/>
  <c r="E260" i="54"/>
  <c r="D260" i="54"/>
  <c r="E195" i="54"/>
  <c r="D195" i="54"/>
  <c r="E130" i="54"/>
  <c r="E65" i="54"/>
  <c r="P65" i="54" s="1"/>
  <c r="J65" i="53"/>
  <c r="I65" i="53"/>
  <c r="H65" i="53"/>
  <c r="G65" i="53"/>
  <c r="F65" i="53"/>
  <c r="E65" i="53"/>
  <c r="P65" i="53" s="1"/>
  <c r="J129" i="52"/>
  <c r="I129" i="52"/>
  <c r="H129" i="52"/>
  <c r="G129" i="52"/>
  <c r="F129" i="52"/>
  <c r="E129" i="52"/>
  <c r="D129" i="52"/>
  <c r="E65" i="52"/>
  <c r="P65" i="52" s="1"/>
  <c r="J128" i="51"/>
  <c r="I128" i="51"/>
  <c r="H128" i="51"/>
  <c r="G128" i="51"/>
  <c r="F128" i="51"/>
  <c r="E128" i="51"/>
  <c r="F64" i="51"/>
  <c r="E64" i="51"/>
  <c r="D64" i="51"/>
  <c r="J66" i="50"/>
  <c r="I66" i="50"/>
  <c r="H66" i="50"/>
  <c r="F66" i="50"/>
  <c r="E66" i="50"/>
  <c r="D66" i="50"/>
  <c r="Y216" i="44"/>
  <c r="Y215" i="44"/>
  <c r="Y207" i="44"/>
  <c r="Y197" i="44"/>
  <c r="Y189" i="44"/>
  <c r="Y188" i="44"/>
  <c r="Y187" i="44"/>
  <c r="Y186" i="44"/>
  <c r="Y185" i="44"/>
  <c r="Y184" i="44"/>
  <c r="Y183" i="44"/>
  <c r="Y182" i="44"/>
  <c r="Y165" i="44"/>
  <c r="Y164" i="44"/>
  <c r="Y163" i="44"/>
  <c r="Y162" i="44"/>
  <c r="Y161" i="44"/>
  <c r="Y160" i="44"/>
  <c r="Y159" i="44"/>
  <c r="Y158" i="44"/>
  <c r="Y157" i="44"/>
  <c r="Y156" i="44"/>
  <c r="Y155" i="44"/>
  <c r="Y154" i="44"/>
  <c r="Y150" i="44"/>
  <c r="Y147" i="44"/>
  <c r="Y146" i="44"/>
  <c r="Y145" i="44"/>
  <c r="Y144" i="44"/>
  <c r="Y143" i="44"/>
  <c r="Y142" i="44"/>
  <c r="Y141" i="44"/>
  <c r="Y140" i="44"/>
  <c r="Y139" i="44"/>
  <c r="Y138" i="44"/>
  <c r="Y130" i="44"/>
  <c r="Y129" i="44"/>
  <c r="Y128" i="44"/>
  <c r="Y120" i="44"/>
  <c r="Y119" i="44"/>
  <c r="Y118" i="44"/>
  <c r="Y110" i="44"/>
  <c r="Q28" i="44" s="1"/>
  <c r="Y99" i="44"/>
  <c r="Y91" i="44"/>
  <c r="Y90" i="44"/>
  <c r="Y89" i="44"/>
  <c r="Y88" i="44"/>
  <c r="Y87" i="44"/>
  <c r="Y86" i="44"/>
  <c r="Y84" i="44"/>
  <c r="Y83" i="44"/>
  <c r="Y82" i="44"/>
  <c r="Y77" i="44"/>
  <c r="Q20" i="44" s="1"/>
  <c r="Y76" i="44"/>
  <c r="Y75" i="44"/>
  <c r="Y74" i="44"/>
  <c r="Y73" i="44"/>
  <c r="Y72" i="44"/>
  <c r="Y71" i="44"/>
  <c r="Y70" i="44"/>
  <c r="Y66" i="44"/>
  <c r="Y64" i="44"/>
  <c r="FH65" i="44"/>
  <c r="FG65" i="44"/>
  <c r="FF65" i="44"/>
  <c r="EZ65" i="44"/>
  <c r="EX65" i="44"/>
  <c r="EW65" i="44"/>
  <c r="EV65" i="44"/>
  <c r="EU65" i="44"/>
  <c r="ET65" i="44"/>
  <c r="ES65" i="44"/>
  <c r="ER65" i="44"/>
  <c r="EQ65" i="44"/>
  <c r="EL65" i="44"/>
  <c r="EK65" i="44"/>
  <c r="EH65" i="44"/>
  <c r="EG65" i="44"/>
  <c r="EF65" i="44"/>
  <c r="EE65" i="44"/>
  <c r="ED65" i="44"/>
  <c r="EB65" i="44"/>
  <c r="EA65" i="44"/>
  <c r="DZ65" i="44"/>
  <c r="DY65" i="44"/>
  <c r="DX65" i="44"/>
  <c r="DW65" i="44"/>
  <c r="DV65" i="44"/>
  <c r="DU65" i="44"/>
  <c r="DT65" i="44"/>
  <c r="DR65" i="44"/>
  <c r="DP65" i="44"/>
  <c r="DO65" i="44"/>
  <c r="DN65" i="44"/>
  <c r="DM65" i="44"/>
  <c r="DL65" i="44"/>
  <c r="DK65" i="44"/>
  <c r="DJ65" i="44"/>
  <c r="DI65" i="44"/>
  <c r="DH65" i="44"/>
  <c r="DG65" i="44"/>
  <c r="DF65" i="44"/>
  <c r="DD65" i="44"/>
  <c r="DC65" i="44"/>
  <c r="DB65" i="44"/>
  <c r="CZ65" i="44"/>
  <c r="CY65" i="44"/>
  <c r="CX65" i="44"/>
  <c r="CW65" i="44"/>
  <c r="CQ65" i="44"/>
  <c r="CO65" i="44"/>
  <c r="CN65" i="44"/>
  <c r="CM65" i="44"/>
  <c r="CL65" i="44"/>
  <c r="CK65" i="44"/>
  <c r="CJ65" i="44"/>
  <c r="CI65" i="44"/>
  <c r="CH65" i="44"/>
  <c r="CG65" i="44"/>
  <c r="CF65" i="44"/>
  <c r="CD65" i="44"/>
  <c r="CC65" i="44"/>
  <c r="CB65" i="44"/>
  <c r="CA65" i="44"/>
  <c r="BZ65" i="44"/>
  <c r="BY65" i="44"/>
  <c r="BX65" i="44"/>
  <c r="BW65" i="44"/>
  <c r="BU65" i="44"/>
  <c r="BT65" i="44"/>
  <c r="BS65" i="44"/>
  <c r="BQ65" i="44"/>
  <c r="BP65" i="44"/>
  <c r="BN65" i="44"/>
  <c r="BM65" i="44"/>
  <c r="BL65" i="44"/>
  <c r="BK65" i="44"/>
  <c r="BJ65" i="44"/>
  <c r="BI65" i="44"/>
  <c r="BB65" i="44"/>
  <c r="BA65" i="44"/>
  <c r="AZ65" i="44"/>
  <c r="AY65" i="44"/>
  <c r="AX65" i="44"/>
  <c r="AW65" i="44"/>
  <c r="AU65" i="44"/>
  <c r="AT65" i="44"/>
  <c r="AR65" i="44"/>
  <c r="AQ65" i="44"/>
  <c r="AP65" i="44"/>
  <c r="AN65" i="44"/>
  <c r="AM65" i="44"/>
  <c r="AK65" i="44"/>
  <c r="AJ65" i="44"/>
  <c r="AI65" i="44"/>
  <c r="Y63" i="44"/>
  <c r="Q12" i="44" s="1"/>
  <c r="FH64" i="44"/>
  <c r="FG64" i="44"/>
  <c r="FF64" i="44"/>
  <c r="EZ64" i="44"/>
  <c r="EX64" i="44"/>
  <c r="EW64" i="44"/>
  <c r="EV64" i="44"/>
  <c r="EU64" i="44"/>
  <c r="ET64" i="44"/>
  <c r="ES64" i="44"/>
  <c r="ER64" i="44"/>
  <c r="EQ64" i="44"/>
  <c r="EL64" i="44"/>
  <c r="EK64" i="44"/>
  <c r="EH64" i="44"/>
  <c r="EG64" i="44"/>
  <c r="EF64" i="44"/>
  <c r="EE64" i="44"/>
  <c r="ED64" i="44"/>
  <c r="EB64" i="44"/>
  <c r="EA64" i="44"/>
  <c r="DZ64" i="44"/>
  <c r="DY64" i="44"/>
  <c r="DX64" i="44"/>
  <c r="DW64" i="44"/>
  <c r="DV64" i="44"/>
  <c r="DU64" i="44"/>
  <c r="DT64" i="44"/>
  <c r="DR64" i="44"/>
  <c r="DP64" i="44"/>
  <c r="DO64" i="44"/>
  <c r="DN64" i="44"/>
  <c r="DM64" i="44"/>
  <c r="DL64" i="44"/>
  <c r="DK64" i="44"/>
  <c r="DJ64" i="44"/>
  <c r="DI64" i="44"/>
  <c r="DH64" i="44"/>
  <c r="DG64" i="44"/>
  <c r="DF64" i="44"/>
  <c r="DD64" i="44"/>
  <c r="DC64" i="44"/>
  <c r="DB64" i="44"/>
  <c r="CZ64" i="44"/>
  <c r="CY64" i="44"/>
  <c r="CX64" i="44"/>
  <c r="CW64" i="44"/>
  <c r="CQ64" i="44"/>
  <c r="CO64" i="44"/>
  <c r="CN64" i="44"/>
  <c r="CM64" i="44"/>
  <c r="CL64" i="44"/>
  <c r="CK64" i="44"/>
  <c r="CJ64" i="44"/>
  <c r="CI64" i="44"/>
  <c r="CH64" i="44"/>
  <c r="CG64" i="44"/>
  <c r="CF64" i="44"/>
  <c r="CD64" i="44"/>
  <c r="CC64" i="44"/>
  <c r="CB64" i="44"/>
  <c r="CA64" i="44"/>
  <c r="BZ64" i="44"/>
  <c r="BY64" i="44"/>
  <c r="BX64" i="44"/>
  <c r="BW64" i="44"/>
  <c r="BU64" i="44"/>
  <c r="BT64" i="44"/>
  <c r="BS64" i="44"/>
  <c r="BQ64" i="44"/>
  <c r="BP64" i="44"/>
  <c r="BN64" i="44"/>
  <c r="BM64" i="44"/>
  <c r="BL64" i="44"/>
  <c r="BK64" i="44"/>
  <c r="BJ64" i="44"/>
  <c r="BI64" i="44"/>
  <c r="BB64" i="44"/>
  <c r="BA64" i="44"/>
  <c r="AZ64" i="44"/>
  <c r="AY64" i="44"/>
  <c r="AX64" i="44"/>
  <c r="AW64" i="44"/>
  <c r="AU64" i="44"/>
  <c r="AT64" i="44"/>
  <c r="AR64" i="44"/>
  <c r="AQ64" i="44"/>
  <c r="AP64" i="44"/>
  <c r="AN64" i="44"/>
  <c r="AM64" i="44"/>
  <c r="AK64" i="44"/>
  <c r="AJ64" i="44"/>
  <c r="AI64" i="44"/>
  <c r="Y61" i="44"/>
  <c r="FH63" i="44"/>
  <c r="FG63" i="44"/>
  <c r="FF63" i="44"/>
  <c r="EZ63" i="44"/>
  <c r="EX63" i="44"/>
  <c r="EW63" i="44"/>
  <c r="EV63" i="44"/>
  <c r="EU63" i="44"/>
  <c r="ET63" i="44"/>
  <c r="ES63" i="44"/>
  <c r="ER63" i="44"/>
  <c r="EQ63" i="44"/>
  <c r="EL63" i="44"/>
  <c r="EK63" i="44"/>
  <c r="EH63" i="44"/>
  <c r="EG63" i="44"/>
  <c r="EF63" i="44"/>
  <c r="EE63" i="44"/>
  <c r="ED63" i="44"/>
  <c r="EB63" i="44"/>
  <c r="EA63" i="44"/>
  <c r="DZ63" i="44"/>
  <c r="DY63" i="44"/>
  <c r="DX63" i="44"/>
  <c r="DW63" i="44"/>
  <c r="DV63" i="44"/>
  <c r="DU63" i="44"/>
  <c r="DT63" i="44"/>
  <c r="DR63" i="44"/>
  <c r="DP63" i="44"/>
  <c r="DO63" i="44"/>
  <c r="DN63" i="44"/>
  <c r="DM63" i="44"/>
  <c r="DL63" i="44"/>
  <c r="DK63" i="44"/>
  <c r="DJ63" i="44"/>
  <c r="DI63" i="44"/>
  <c r="DH63" i="44"/>
  <c r="DG63" i="44"/>
  <c r="DF63" i="44"/>
  <c r="DD63" i="44"/>
  <c r="DC63" i="44"/>
  <c r="DB63" i="44"/>
  <c r="CZ63" i="44"/>
  <c r="CY63" i="44"/>
  <c r="CX63" i="44"/>
  <c r="CW63" i="44"/>
  <c r="CQ63" i="44"/>
  <c r="CO63" i="44"/>
  <c r="CN63" i="44"/>
  <c r="CM63" i="44"/>
  <c r="CL63" i="44"/>
  <c r="CK63" i="44"/>
  <c r="CJ63" i="44"/>
  <c r="CI63" i="44"/>
  <c r="CH63" i="44"/>
  <c r="CG63" i="44"/>
  <c r="CF63" i="44"/>
  <c r="CD63" i="44"/>
  <c r="CC63" i="44"/>
  <c r="CB63" i="44"/>
  <c r="CA63" i="44"/>
  <c r="BZ63" i="44"/>
  <c r="BY63" i="44"/>
  <c r="BX63" i="44"/>
  <c r="BW63" i="44"/>
  <c r="BU63" i="44"/>
  <c r="BT63" i="44"/>
  <c r="BS63" i="44"/>
  <c r="BQ63" i="44"/>
  <c r="BP63" i="44"/>
  <c r="BN63" i="44"/>
  <c r="BM63" i="44"/>
  <c r="BL63" i="44"/>
  <c r="BK63" i="44"/>
  <c r="BJ63" i="44"/>
  <c r="BI63" i="44"/>
  <c r="BB63" i="44"/>
  <c r="BA63" i="44"/>
  <c r="AZ63" i="44"/>
  <c r="AY63" i="44"/>
  <c r="AX63" i="44"/>
  <c r="AW63" i="44"/>
  <c r="AU63" i="44"/>
  <c r="AT63" i="44"/>
  <c r="AR63" i="44"/>
  <c r="AQ63" i="44"/>
  <c r="AP63" i="44"/>
  <c r="AN63" i="44"/>
  <c r="AM63" i="44"/>
  <c r="AK63" i="44"/>
  <c r="AJ63" i="44"/>
  <c r="AI63" i="44"/>
  <c r="Y60" i="44"/>
  <c r="Q17" i="44" s="1"/>
  <c r="FH62" i="44"/>
  <c r="FG62" i="44"/>
  <c r="FF62" i="44"/>
  <c r="EZ62" i="44"/>
  <c r="EX62" i="44"/>
  <c r="EW62" i="44"/>
  <c r="EV62" i="44"/>
  <c r="EU62" i="44"/>
  <c r="ET62" i="44"/>
  <c r="ES62" i="44"/>
  <c r="ER62" i="44"/>
  <c r="EQ62" i="44"/>
  <c r="EL62" i="44"/>
  <c r="EK62" i="44"/>
  <c r="EH62" i="44"/>
  <c r="EG62" i="44"/>
  <c r="EF62" i="44"/>
  <c r="EE62" i="44"/>
  <c r="ED62" i="44"/>
  <c r="EB62" i="44"/>
  <c r="EA62" i="44"/>
  <c r="DZ62" i="44"/>
  <c r="DY62" i="44"/>
  <c r="DX62" i="44"/>
  <c r="DW62" i="44"/>
  <c r="DV62" i="44"/>
  <c r="DU62" i="44"/>
  <c r="DT62" i="44"/>
  <c r="DR62" i="44"/>
  <c r="DP62" i="44"/>
  <c r="DO62" i="44"/>
  <c r="DN62" i="44"/>
  <c r="DM62" i="44"/>
  <c r="DL62" i="44"/>
  <c r="DK62" i="44"/>
  <c r="DJ62" i="44"/>
  <c r="DI62" i="44"/>
  <c r="DH62" i="44"/>
  <c r="DG62" i="44"/>
  <c r="DF62" i="44"/>
  <c r="DD62" i="44"/>
  <c r="DC62" i="44"/>
  <c r="DB62" i="44"/>
  <c r="CZ62" i="44"/>
  <c r="CY62" i="44"/>
  <c r="CX62" i="44"/>
  <c r="CW62" i="44"/>
  <c r="CQ62" i="44"/>
  <c r="CO62" i="44"/>
  <c r="CN62" i="44"/>
  <c r="CM62" i="44"/>
  <c r="CL62" i="44"/>
  <c r="CK62" i="44"/>
  <c r="CJ62" i="44"/>
  <c r="CI62" i="44"/>
  <c r="CH62" i="44"/>
  <c r="CG62" i="44"/>
  <c r="CF62" i="44"/>
  <c r="CD62" i="44"/>
  <c r="CC62" i="44"/>
  <c r="CB62" i="44"/>
  <c r="CA62" i="44"/>
  <c r="BZ62" i="44"/>
  <c r="BY62" i="44"/>
  <c r="BX62" i="44"/>
  <c r="BW62" i="44"/>
  <c r="BU62" i="44"/>
  <c r="BT62" i="44"/>
  <c r="BS62" i="44"/>
  <c r="BQ62" i="44"/>
  <c r="BP62" i="44"/>
  <c r="BN62" i="44"/>
  <c r="BM62" i="44"/>
  <c r="BL62" i="44"/>
  <c r="BK62" i="44"/>
  <c r="BJ62" i="44"/>
  <c r="BI62" i="44"/>
  <c r="BB62" i="44"/>
  <c r="BA62" i="44"/>
  <c r="AZ62" i="44"/>
  <c r="AY62" i="44"/>
  <c r="AX62" i="44"/>
  <c r="AW62" i="44"/>
  <c r="AU62" i="44"/>
  <c r="AT62" i="44"/>
  <c r="AR62" i="44"/>
  <c r="AQ62" i="44"/>
  <c r="AP62" i="44"/>
  <c r="AN62" i="44"/>
  <c r="AM62" i="44"/>
  <c r="AK62" i="44"/>
  <c r="AJ62" i="44"/>
  <c r="AI62" i="44"/>
  <c r="Y59" i="44"/>
  <c r="FH61" i="44"/>
  <c r="FG61" i="44"/>
  <c r="FF61" i="44"/>
  <c r="EZ61" i="44"/>
  <c r="EX61" i="44"/>
  <c r="EW61" i="44"/>
  <c r="EV61" i="44"/>
  <c r="EU61" i="44"/>
  <c r="ET61" i="44"/>
  <c r="ES61" i="44"/>
  <c r="ER61" i="44"/>
  <c r="EQ61" i="44"/>
  <c r="EL61" i="44"/>
  <c r="EK61" i="44"/>
  <c r="EH61" i="44"/>
  <c r="EG61" i="44"/>
  <c r="EF61" i="44"/>
  <c r="EE61" i="44"/>
  <c r="ED61" i="44"/>
  <c r="EB61" i="44"/>
  <c r="EA61" i="44"/>
  <c r="DZ61" i="44"/>
  <c r="DY61" i="44"/>
  <c r="DX61" i="44"/>
  <c r="DW61" i="44"/>
  <c r="DV61" i="44"/>
  <c r="DU61" i="44"/>
  <c r="DT61" i="44"/>
  <c r="DR61" i="44"/>
  <c r="DP61" i="44"/>
  <c r="DO61" i="44"/>
  <c r="DN61" i="44"/>
  <c r="DM61" i="44"/>
  <c r="DL61" i="44"/>
  <c r="DK61" i="44"/>
  <c r="DJ61" i="44"/>
  <c r="DI61" i="44"/>
  <c r="DH61" i="44"/>
  <c r="DG61" i="44"/>
  <c r="DF61" i="44"/>
  <c r="DD61" i="44"/>
  <c r="DC61" i="44"/>
  <c r="DB61" i="44"/>
  <c r="CZ61" i="44"/>
  <c r="CY61" i="44"/>
  <c r="CX61" i="44"/>
  <c r="CW61" i="44"/>
  <c r="CQ61" i="44"/>
  <c r="CO61" i="44"/>
  <c r="CN61" i="44"/>
  <c r="CM61" i="44"/>
  <c r="CL61" i="44"/>
  <c r="CK61" i="44"/>
  <c r="CJ61" i="44"/>
  <c r="CI61" i="44"/>
  <c r="CH61" i="44"/>
  <c r="CG61" i="44"/>
  <c r="CF61" i="44"/>
  <c r="CD61" i="44"/>
  <c r="CC61" i="44"/>
  <c r="CB61" i="44"/>
  <c r="CA61" i="44"/>
  <c r="BZ61" i="44"/>
  <c r="BY61" i="44"/>
  <c r="BX61" i="44"/>
  <c r="BW61" i="44"/>
  <c r="BU61" i="44"/>
  <c r="BT61" i="44"/>
  <c r="BS61" i="44"/>
  <c r="BQ61" i="44"/>
  <c r="BP61" i="44"/>
  <c r="BN61" i="44"/>
  <c r="BM61" i="44"/>
  <c r="BL61" i="44"/>
  <c r="BK61" i="44"/>
  <c r="BJ61" i="44"/>
  <c r="BI61" i="44"/>
  <c r="BB61" i="44"/>
  <c r="BA61" i="44"/>
  <c r="AZ61" i="44"/>
  <c r="AY61" i="44"/>
  <c r="AX61" i="44"/>
  <c r="AW61" i="44"/>
  <c r="AU61" i="44"/>
  <c r="AT61" i="44"/>
  <c r="AR61" i="44"/>
  <c r="AQ61" i="44"/>
  <c r="AP61" i="44"/>
  <c r="AN61" i="44"/>
  <c r="AM61" i="44"/>
  <c r="AK61" i="44"/>
  <c r="AJ61" i="44"/>
  <c r="AI61" i="44"/>
  <c r="Y58" i="44"/>
  <c r="FH60" i="44"/>
  <c r="FG60" i="44"/>
  <c r="FF60" i="44"/>
  <c r="EZ60" i="44"/>
  <c r="EX60" i="44"/>
  <c r="EW60" i="44"/>
  <c r="EV60" i="44"/>
  <c r="EU60" i="44"/>
  <c r="ET60" i="44"/>
  <c r="ES60" i="44"/>
  <c r="ER60" i="44"/>
  <c r="EQ60" i="44"/>
  <c r="EL60" i="44"/>
  <c r="EK60" i="44"/>
  <c r="EH60" i="44"/>
  <c r="EG60" i="44"/>
  <c r="EF60" i="44"/>
  <c r="EE60" i="44"/>
  <c r="ED60" i="44"/>
  <c r="EB60" i="44"/>
  <c r="EA60" i="44"/>
  <c r="DZ60" i="44"/>
  <c r="DY60" i="44"/>
  <c r="DX60" i="44"/>
  <c r="DW60" i="44"/>
  <c r="DV60" i="44"/>
  <c r="DU60" i="44"/>
  <c r="DT60" i="44"/>
  <c r="DR60" i="44"/>
  <c r="DP60" i="44"/>
  <c r="DO60" i="44"/>
  <c r="DN60" i="44"/>
  <c r="DM60" i="44"/>
  <c r="DL60" i="44"/>
  <c r="DK60" i="44"/>
  <c r="DJ60" i="44"/>
  <c r="DI60" i="44"/>
  <c r="DH60" i="44"/>
  <c r="DG60" i="44"/>
  <c r="DF60" i="44"/>
  <c r="DD60" i="44"/>
  <c r="DC60" i="44"/>
  <c r="DB60" i="44"/>
  <c r="CZ60" i="44"/>
  <c r="CY60" i="44"/>
  <c r="CX60" i="44"/>
  <c r="CW60" i="44"/>
  <c r="CQ60" i="44"/>
  <c r="CO60" i="44"/>
  <c r="CN60" i="44"/>
  <c r="CM60" i="44"/>
  <c r="CL60" i="44"/>
  <c r="CK60" i="44"/>
  <c r="CJ60" i="44"/>
  <c r="CI60" i="44"/>
  <c r="CH60" i="44"/>
  <c r="CG60" i="44"/>
  <c r="CF60" i="44"/>
  <c r="CD60" i="44"/>
  <c r="CC60" i="44"/>
  <c r="CB60" i="44"/>
  <c r="CA60" i="44"/>
  <c r="BZ60" i="44"/>
  <c r="BY60" i="44"/>
  <c r="BX60" i="44"/>
  <c r="BW60" i="44"/>
  <c r="BU60" i="44"/>
  <c r="BT60" i="44"/>
  <c r="BS60" i="44"/>
  <c r="BQ60" i="44"/>
  <c r="BP60" i="44"/>
  <c r="BN60" i="44"/>
  <c r="BM60" i="44"/>
  <c r="BL60" i="44"/>
  <c r="BK60" i="44"/>
  <c r="BJ60" i="44"/>
  <c r="BI60" i="44"/>
  <c r="BB60" i="44"/>
  <c r="BA60" i="44"/>
  <c r="AZ60" i="44"/>
  <c r="AY60" i="44"/>
  <c r="AX60" i="44"/>
  <c r="AW60" i="44"/>
  <c r="AU60" i="44"/>
  <c r="AT60" i="44"/>
  <c r="AR60" i="44"/>
  <c r="AQ60" i="44"/>
  <c r="AP60" i="44"/>
  <c r="AN60" i="44"/>
  <c r="AM60" i="44"/>
  <c r="AK60" i="44"/>
  <c r="AJ60" i="44"/>
  <c r="AI60" i="44"/>
  <c r="Y57" i="44"/>
  <c r="Q15" i="44" s="1"/>
  <c r="FH59" i="44"/>
  <c r="FG59" i="44"/>
  <c r="FF59" i="44"/>
  <c r="EZ59" i="44"/>
  <c r="EX59" i="44"/>
  <c r="EW59" i="44"/>
  <c r="EV59" i="44"/>
  <c r="EU59" i="44"/>
  <c r="ET59" i="44"/>
  <c r="ES59" i="44"/>
  <c r="ER59" i="44"/>
  <c r="EQ59" i="44"/>
  <c r="EL59" i="44"/>
  <c r="EK59" i="44"/>
  <c r="EH59" i="44"/>
  <c r="EG59" i="44"/>
  <c r="EF59" i="44"/>
  <c r="EE59" i="44"/>
  <c r="ED59" i="44"/>
  <c r="EB59" i="44"/>
  <c r="EA59" i="44"/>
  <c r="DZ59" i="44"/>
  <c r="DY59" i="44"/>
  <c r="DX59" i="44"/>
  <c r="DW59" i="44"/>
  <c r="DV59" i="44"/>
  <c r="DU59" i="44"/>
  <c r="DT59" i="44"/>
  <c r="DR59" i="44"/>
  <c r="DP59" i="44"/>
  <c r="DO59" i="44"/>
  <c r="DN59" i="44"/>
  <c r="DM59" i="44"/>
  <c r="DL59" i="44"/>
  <c r="DK59" i="44"/>
  <c r="DJ59" i="44"/>
  <c r="DI59" i="44"/>
  <c r="DH59" i="44"/>
  <c r="DG59" i="44"/>
  <c r="DF59" i="44"/>
  <c r="DD59" i="44"/>
  <c r="DC59" i="44"/>
  <c r="DB59" i="44"/>
  <c r="CZ59" i="44"/>
  <c r="CY59" i="44"/>
  <c r="CX59" i="44"/>
  <c r="CW59" i="44"/>
  <c r="CQ59" i="44"/>
  <c r="CO59" i="44"/>
  <c r="CN59" i="44"/>
  <c r="CM59" i="44"/>
  <c r="CL59" i="44"/>
  <c r="CK59" i="44"/>
  <c r="CJ59" i="44"/>
  <c r="CI59" i="44"/>
  <c r="CH59" i="44"/>
  <c r="CG59" i="44"/>
  <c r="CF59" i="44"/>
  <c r="CD59" i="44"/>
  <c r="CC59" i="44"/>
  <c r="CB59" i="44"/>
  <c r="CA59" i="44"/>
  <c r="BZ59" i="44"/>
  <c r="BY59" i="44"/>
  <c r="BX59" i="44"/>
  <c r="BW59" i="44"/>
  <c r="BU59" i="44"/>
  <c r="BT59" i="44"/>
  <c r="BS59" i="44"/>
  <c r="BQ59" i="44"/>
  <c r="BP59" i="44"/>
  <c r="BN59" i="44"/>
  <c r="BM59" i="44"/>
  <c r="BL59" i="44"/>
  <c r="BK59" i="44"/>
  <c r="BJ59" i="44"/>
  <c r="BI59" i="44"/>
  <c r="BB59" i="44"/>
  <c r="BA59" i="44"/>
  <c r="AZ59" i="44"/>
  <c r="AY59" i="44"/>
  <c r="AX59" i="44"/>
  <c r="AW59" i="44"/>
  <c r="AU59" i="44"/>
  <c r="AT59" i="44"/>
  <c r="AR59" i="44"/>
  <c r="AQ59" i="44"/>
  <c r="AP59" i="44"/>
  <c r="AN59" i="44"/>
  <c r="AM59" i="44"/>
  <c r="AK59" i="44"/>
  <c r="AJ59" i="44"/>
  <c r="AI59" i="44"/>
  <c r="Y56" i="44"/>
  <c r="Z101" i="44" s="1"/>
  <c r="FH58" i="44"/>
  <c r="FG58" i="44"/>
  <c r="FF58" i="44"/>
  <c r="EZ58" i="44"/>
  <c r="EX58" i="44"/>
  <c r="EW58" i="44"/>
  <c r="EV58" i="44"/>
  <c r="EU58" i="44"/>
  <c r="ET58" i="44"/>
  <c r="ES58" i="44"/>
  <c r="ER58" i="44"/>
  <c r="EQ58" i="44"/>
  <c r="EL58" i="44"/>
  <c r="EK58" i="44"/>
  <c r="EH58" i="44"/>
  <c r="EG58" i="44"/>
  <c r="EF58" i="44"/>
  <c r="EE58" i="44"/>
  <c r="ED58" i="44"/>
  <c r="EB58" i="44"/>
  <c r="EA58" i="44"/>
  <c r="DZ58" i="44"/>
  <c r="DY58" i="44"/>
  <c r="DX58" i="44"/>
  <c r="DW58" i="44"/>
  <c r="DV58" i="44"/>
  <c r="DU58" i="44"/>
  <c r="DT58" i="44"/>
  <c r="DR58" i="44"/>
  <c r="DP58" i="44"/>
  <c r="DO58" i="44"/>
  <c r="DN58" i="44"/>
  <c r="DM58" i="44"/>
  <c r="DL58" i="44"/>
  <c r="DK58" i="44"/>
  <c r="DJ58" i="44"/>
  <c r="DI58" i="44"/>
  <c r="DH58" i="44"/>
  <c r="DG58" i="44"/>
  <c r="DF58" i="44"/>
  <c r="DD58" i="44"/>
  <c r="DC58" i="44"/>
  <c r="DB58" i="44"/>
  <c r="CZ58" i="44"/>
  <c r="CY58" i="44"/>
  <c r="CX58" i="44"/>
  <c r="CW58" i="44"/>
  <c r="CQ58" i="44"/>
  <c r="CO58" i="44"/>
  <c r="CN58" i="44"/>
  <c r="CM58" i="44"/>
  <c r="CL58" i="44"/>
  <c r="CK58" i="44"/>
  <c r="CJ58" i="44"/>
  <c r="CI58" i="44"/>
  <c r="CH58" i="44"/>
  <c r="CG58" i="44"/>
  <c r="CF58" i="44"/>
  <c r="CD58" i="44"/>
  <c r="CC58" i="44"/>
  <c r="CB58" i="44"/>
  <c r="CA58" i="44"/>
  <c r="BZ58" i="44"/>
  <c r="BY58" i="44"/>
  <c r="BX58" i="44"/>
  <c r="BW58" i="44"/>
  <c r="BU58" i="44"/>
  <c r="BT58" i="44"/>
  <c r="BS58" i="44"/>
  <c r="BQ58" i="44"/>
  <c r="BP58" i="44"/>
  <c r="BN58" i="44"/>
  <c r="BM58" i="44"/>
  <c r="BL58" i="44"/>
  <c r="BK58" i="44"/>
  <c r="BJ58" i="44"/>
  <c r="BI58" i="44"/>
  <c r="BB58" i="44"/>
  <c r="BA58" i="44"/>
  <c r="AZ58" i="44"/>
  <c r="AY58" i="44"/>
  <c r="AX58" i="44"/>
  <c r="AW58" i="44"/>
  <c r="AU58" i="44"/>
  <c r="AT58" i="44"/>
  <c r="AR58" i="44"/>
  <c r="AQ58" i="44"/>
  <c r="AP58" i="44"/>
  <c r="AN58" i="44"/>
  <c r="AM58" i="44"/>
  <c r="AK58" i="44"/>
  <c r="AJ58" i="44"/>
  <c r="AI58" i="44"/>
  <c r="FH57" i="44"/>
  <c r="FG57" i="44"/>
  <c r="FF57" i="44"/>
  <c r="EZ57" i="44"/>
  <c r="EX57" i="44"/>
  <c r="EW57" i="44"/>
  <c r="EV57" i="44"/>
  <c r="EU57" i="44"/>
  <c r="ET57" i="44"/>
  <c r="ES57" i="44"/>
  <c r="ER57" i="44"/>
  <c r="EQ57" i="44"/>
  <c r="EL57" i="44"/>
  <c r="EK57" i="44"/>
  <c r="EH57" i="44"/>
  <c r="EG57" i="44"/>
  <c r="EF57" i="44"/>
  <c r="EE57" i="44"/>
  <c r="ED57" i="44"/>
  <c r="EB57" i="44"/>
  <c r="EA57" i="44"/>
  <c r="DZ57" i="44"/>
  <c r="DY57" i="44"/>
  <c r="DX57" i="44"/>
  <c r="DW57" i="44"/>
  <c r="DV57" i="44"/>
  <c r="DU57" i="44"/>
  <c r="DT57" i="44"/>
  <c r="DR57" i="44"/>
  <c r="DP57" i="44"/>
  <c r="DO57" i="44"/>
  <c r="DN57" i="44"/>
  <c r="DM57" i="44"/>
  <c r="DL57" i="44"/>
  <c r="DK57" i="44"/>
  <c r="DJ57" i="44"/>
  <c r="DI57" i="44"/>
  <c r="DH57" i="44"/>
  <c r="DG57" i="44"/>
  <c r="DF57" i="44"/>
  <c r="DD57" i="44"/>
  <c r="DC57" i="44"/>
  <c r="DB57" i="44"/>
  <c r="CZ57" i="44"/>
  <c r="CY57" i="44"/>
  <c r="CX57" i="44"/>
  <c r="CW57" i="44"/>
  <c r="CQ57" i="44"/>
  <c r="CO57" i="44"/>
  <c r="CN57" i="44"/>
  <c r="CM57" i="44"/>
  <c r="CL57" i="44"/>
  <c r="CK57" i="44"/>
  <c r="CJ57" i="44"/>
  <c r="CI57" i="44"/>
  <c r="CH57" i="44"/>
  <c r="CG57" i="44"/>
  <c r="CF57" i="44"/>
  <c r="CD57" i="44"/>
  <c r="CC57" i="44"/>
  <c r="CB57" i="44"/>
  <c r="CA57" i="44"/>
  <c r="BZ57" i="44"/>
  <c r="BY57" i="44"/>
  <c r="BX57" i="44"/>
  <c r="BW57" i="44"/>
  <c r="BU57" i="44"/>
  <c r="BT57" i="44"/>
  <c r="BS57" i="44"/>
  <c r="BQ57" i="44"/>
  <c r="BP57" i="44"/>
  <c r="BN57" i="44"/>
  <c r="BM57" i="44"/>
  <c r="BL57" i="44"/>
  <c r="BK57" i="44"/>
  <c r="BJ57" i="44"/>
  <c r="BI57" i="44"/>
  <c r="BB57" i="44"/>
  <c r="BA57" i="44"/>
  <c r="AZ57" i="44"/>
  <c r="AY57" i="44"/>
  <c r="AX57" i="44"/>
  <c r="AW57" i="44"/>
  <c r="AU57" i="44"/>
  <c r="AT57" i="44"/>
  <c r="AR57" i="44"/>
  <c r="AQ57" i="44"/>
  <c r="AP57" i="44"/>
  <c r="AN57" i="44"/>
  <c r="AM57" i="44"/>
  <c r="AK57" i="44"/>
  <c r="AJ57" i="44"/>
  <c r="AI57" i="44"/>
  <c r="FH56" i="44"/>
  <c r="FG56" i="44"/>
  <c r="FF56" i="44"/>
  <c r="EZ56" i="44"/>
  <c r="EX56" i="44"/>
  <c r="EW56" i="44"/>
  <c r="EV56" i="44"/>
  <c r="EU56" i="44"/>
  <c r="ET56" i="44"/>
  <c r="ES56" i="44"/>
  <c r="ER56" i="44"/>
  <c r="EQ56" i="44"/>
  <c r="EL56" i="44"/>
  <c r="EK56" i="44"/>
  <c r="EH56" i="44"/>
  <c r="EG56" i="44"/>
  <c r="EF56" i="44"/>
  <c r="EE56" i="44"/>
  <c r="ED56" i="44"/>
  <c r="EB56" i="44"/>
  <c r="EA56" i="44"/>
  <c r="DZ56" i="44"/>
  <c r="DY56" i="44"/>
  <c r="DX56" i="44"/>
  <c r="DW56" i="44"/>
  <c r="DV56" i="44"/>
  <c r="DU56" i="44"/>
  <c r="DT56" i="44"/>
  <c r="DR56" i="44"/>
  <c r="DP56" i="44"/>
  <c r="DO56" i="44"/>
  <c r="DN56" i="44"/>
  <c r="DM56" i="44"/>
  <c r="DL56" i="44"/>
  <c r="DK56" i="44"/>
  <c r="DJ56" i="44"/>
  <c r="DI56" i="44"/>
  <c r="DH56" i="44"/>
  <c r="DG56" i="44"/>
  <c r="DF56" i="44"/>
  <c r="DD56" i="44"/>
  <c r="DC56" i="44"/>
  <c r="DB56" i="44"/>
  <c r="CZ56" i="44"/>
  <c r="CY56" i="44"/>
  <c r="CX56" i="44"/>
  <c r="CW56" i="44"/>
  <c r="CQ56" i="44"/>
  <c r="CO56" i="44"/>
  <c r="CN56" i="44"/>
  <c r="CM56" i="44"/>
  <c r="CL56" i="44"/>
  <c r="CK56" i="44"/>
  <c r="CJ56" i="44"/>
  <c r="CI56" i="44"/>
  <c r="CH56" i="44"/>
  <c r="CG56" i="44"/>
  <c r="CF56" i="44"/>
  <c r="CD56" i="44"/>
  <c r="CC56" i="44"/>
  <c r="CB56" i="44"/>
  <c r="CA56" i="44"/>
  <c r="BZ56" i="44"/>
  <c r="BY56" i="44"/>
  <c r="BX56" i="44"/>
  <c r="BW56" i="44"/>
  <c r="BU56" i="44"/>
  <c r="BT56" i="44"/>
  <c r="BS56" i="44"/>
  <c r="BQ56" i="44"/>
  <c r="BP56" i="44"/>
  <c r="BN56" i="44"/>
  <c r="BM56" i="44"/>
  <c r="BL56" i="44"/>
  <c r="BK56" i="44"/>
  <c r="BJ56" i="44"/>
  <c r="BI56" i="44"/>
  <c r="BB56" i="44"/>
  <c r="BA56" i="44"/>
  <c r="AZ56" i="44"/>
  <c r="AY56" i="44"/>
  <c r="AX56" i="44"/>
  <c r="AW56" i="44"/>
  <c r="AU56" i="44"/>
  <c r="AT56" i="44"/>
  <c r="AR56" i="44"/>
  <c r="AQ56" i="44"/>
  <c r="AP56" i="44"/>
  <c r="AN56" i="44"/>
  <c r="AM56" i="44"/>
  <c r="AK56" i="44"/>
  <c r="AJ56" i="44"/>
  <c r="AI56" i="44"/>
  <c r="FH55" i="44"/>
  <c r="FG55" i="44"/>
  <c r="FF55" i="44"/>
  <c r="EZ55" i="44"/>
  <c r="EX55" i="44"/>
  <c r="EW55" i="44"/>
  <c r="EV55" i="44"/>
  <c r="EU55" i="44"/>
  <c r="ET55" i="44"/>
  <c r="ES55" i="44"/>
  <c r="ER55" i="44"/>
  <c r="EQ55" i="44"/>
  <c r="EL55" i="44"/>
  <c r="EK55" i="44"/>
  <c r="EH55" i="44"/>
  <c r="EG55" i="44"/>
  <c r="EF55" i="44"/>
  <c r="EE55" i="44"/>
  <c r="ED55" i="44"/>
  <c r="EB55" i="44"/>
  <c r="EA55" i="44"/>
  <c r="DZ55" i="44"/>
  <c r="DY55" i="44"/>
  <c r="DX55" i="44"/>
  <c r="DW55" i="44"/>
  <c r="DV55" i="44"/>
  <c r="DU55" i="44"/>
  <c r="DT55" i="44"/>
  <c r="DR55" i="44"/>
  <c r="DP55" i="44"/>
  <c r="DO55" i="44"/>
  <c r="DN55" i="44"/>
  <c r="DM55" i="44"/>
  <c r="DL55" i="44"/>
  <c r="DK55" i="44"/>
  <c r="DJ55" i="44"/>
  <c r="DI55" i="44"/>
  <c r="DH55" i="44"/>
  <c r="DG55" i="44"/>
  <c r="DF55" i="44"/>
  <c r="DD55" i="44"/>
  <c r="DC55" i="44"/>
  <c r="DB55" i="44"/>
  <c r="CZ55" i="44"/>
  <c r="CY55" i="44"/>
  <c r="CX55" i="44"/>
  <c r="CW55" i="44"/>
  <c r="CQ55" i="44"/>
  <c r="CO55" i="44"/>
  <c r="CN55" i="44"/>
  <c r="CM55" i="44"/>
  <c r="CL55" i="44"/>
  <c r="CK55" i="44"/>
  <c r="CJ55" i="44"/>
  <c r="CI55" i="44"/>
  <c r="CH55" i="44"/>
  <c r="CG55" i="44"/>
  <c r="CF55" i="44"/>
  <c r="CD55" i="44"/>
  <c r="CC55" i="44"/>
  <c r="CB55" i="44"/>
  <c r="CA55" i="44"/>
  <c r="BZ55" i="44"/>
  <c r="BY55" i="44"/>
  <c r="BX55" i="44"/>
  <c r="BW55" i="44"/>
  <c r="BU55" i="44"/>
  <c r="BT55" i="44"/>
  <c r="BS55" i="44"/>
  <c r="BQ55" i="44"/>
  <c r="BP55" i="44"/>
  <c r="BN55" i="44"/>
  <c r="BM55" i="44"/>
  <c r="BL55" i="44"/>
  <c r="BK55" i="44"/>
  <c r="BJ55" i="44"/>
  <c r="BI55" i="44"/>
  <c r="BB55" i="44"/>
  <c r="BA55" i="44"/>
  <c r="AZ55" i="44"/>
  <c r="AY55" i="44"/>
  <c r="AX55" i="44"/>
  <c r="AW55" i="44"/>
  <c r="AU55" i="44"/>
  <c r="AT55" i="44"/>
  <c r="AR55" i="44"/>
  <c r="AQ55" i="44"/>
  <c r="AP55" i="44"/>
  <c r="AN55" i="44"/>
  <c r="AM55" i="44"/>
  <c r="AK55" i="44"/>
  <c r="AJ55" i="44"/>
  <c r="AI55" i="44"/>
  <c r="FH54" i="44"/>
  <c r="FG54" i="44"/>
  <c r="FF54" i="44"/>
  <c r="EZ54" i="44"/>
  <c r="EX54" i="44"/>
  <c r="EW54" i="44"/>
  <c r="EV54" i="44"/>
  <c r="EU54" i="44"/>
  <c r="ET54" i="44"/>
  <c r="ES54" i="44"/>
  <c r="ER54" i="44"/>
  <c r="EQ54" i="44"/>
  <c r="EL54" i="44"/>
  <c r="EK54" i="44"/>
  <c r="EH54" i="44"/>
  <c r="EG54" i="44"/>
  <c r="EF54" i="44"/>
  <c r="EE54" i="44"/>
  <c r="ED54" i="44"/>
  <c r="EB54" i="44"/>
  <c r="EA54" i="44"/>
  <c r="DZ54" i="44"/>
  <c r="DY54" i="44"/>
  <c r="DX54" i="44"/>
  <c r="DW54" i="44"/>
  <c r="DV54" i="44"/>
  <c r="DU54" i="44"/>
  <c r="DT54" i="44"/>
  <c r="DR54" i="44"/>
  <c r="DP54" i="44"/>
  <c r="DO54" i="44"/>
  <c r="DN54" i="44"/>
  <c r="DM54" i="44"/>
  <c r="DL54" i="44"/>
  <c r="DK54" i="44"/>
  <c r="DJ54" i="44"/>
  <c r="DI54" i="44"/>
  <c r="DH54" i="44"/>
  <c r="DG54" i="44"/>
  <c r="DF54" i="44"/>
  <c r="DD54" i="44"/>
  <c r="DC54" i="44"/>
  <c r="DB54" i="44"/>
  <c r="CZ54" i="44"/>
  <c r="CY54" i="44"/>
  <c r="CX54" i="44"/>
  <c r="CW54" i="44"/>
  <c r="CQ54" i="44"/>
  <c r="CO54" i="44"/>
  <c r="CN54" i="44"/>
  <c r="CM54" i="44"/>
  <c r="CL54" i="44"/>
  <c r="CK54" i="44"/>
  <c r="CJ54" i="44"/>
  <c r="CI54" i="44"/>
  <c r="CH54" i="44"/>
  <c r="CG54" i="44"/>
  <c r="CF54" i="44"/>
  <c r="CD54" i="44"/>
  <c r="CC54" i="44"/>
  <c r="CB54" i="44"/>
  <c r="CA54" i="44"/>
  <c r="BZ54" i="44"/>
  <c r="BY54" i="44"/>
  <c r="BX54" i="44"/>
  <c r="BW54" i="44"/>
  <c r="BU54" i="44"/>
  <c r="BT54" i="44"/>
  <c r="BS54" i="44"/>
  <c r="BQ54" i="44"/>
  <c r="BP54" i="44"/>
  <c r="BN54" i="44"/>
  <c r="BM54" i="44"/>
  <c r="BL54" i="44"/>
  <c r="BK54" i="44"/>
  <c r="BJ54" i="44"/>
  <c r="BI54" i="44"/>
  <c r="BB54" i="44"/>
  <c r="BA54" i="44"/>
  <c r="AZ54" i="44"/>
  <c r="AY54" i="44"/>
  <c r="AX54" i="44"/>
  <c r="AW54" i="44"/>
  <c r="AU54" i="44"/>
  <c r="AT54" i="44"/>
  <c r="AR54" i="44"/>
  <c r="AQ54" i="44"/>
  <c r="AP54" i="44"/>
  <c r="AN54" i="44"/>
  <c r="AM54" i="44"/>
  <c r="AK54" i="44"/>
  <c r="AJ54" i="44"/>
  <c r="AI54" i="44"/>
  <c r="FH53" i="44"/>
  <c r="FG53" i="44"/>
  <c r="FF53" i="44"/>
  <c r="EZ53" i="44"/>
  <c r="EX53" i="44"/>
  <c r="EW53" i="44"/>
  <c r="EV53" i="44"/>
  <c r="EU53" i="44"/>
  <c r="ET53" i="44"/>
  <c r="ES53" i="44"/>
  <c r="ER53" i="44"/>
  <c r="EQ53" i="44"/>
  <c r="EL53" i="44"/>
  <c r="EK53" i="44"/>
  <c r="EH53" i="44"/>
  <c r="EG53" i="44"/>
  <c r="EF53" i="44"/>
  <c r="EE53" i="44"/>
  <c r="ED53" i="44"/>
  <c r="EB53" i="44"/>
  <c r="EA53" i="44"/>
  <c r="DZ53" i="44"/>
  <c r="DY53" i="44"/>
  <c r="DX53" i="44"/>
  <c r="DW53" i="44"/>
  <c r="DV53" i="44"/>
  <c r="DU53" i="44"/>
  <c r="DT53" i="44"/>
  <c r="DR53" i="44"/>
  <c r="DP53" i="44"/>
  <c r="DO53" i="44"/>
  <c r="DN53" i="44"/>
  <c r="DM53" i="44"/>
  <c r="DL53" i="44"/>
  <c r="DK53" i="44"/>
  <c r="DJ53" i="44"/>
  <c r="DI53" i="44"/>
  <c r="DH53" i="44"/>
  <c r="DG53" i="44"/>
  <c r="DF53" i="44"/>
  <c r="DD53" i="44"/>
  <c r="DC53" i="44"/>
  <c r="DB53" i="44"/>
  <c r="CZ53" i="44"/>
  <c r="CY53" i="44"/>
  <c r="CX53" i="44"/>
  <c r="CW53" i="44"/>
  <c r="CQ53" i="44"/>
  <c r="CO53" i="44"/>
  <c r="CN53" i="44"/>
  <c r="CM53" i="44"/>
  <c r="CL53" i="44"/>
  <c r="CK53" i="44"/>
  <c r="CJ53" i="44"/>
  <c r="CI53" i="44"/>
  <c r="CH53" i="44"/>
  <c r="CG53" i="44"/>
  <c r="CF53" i="44"/>
  <c r="CD53" i="44"/>
  <c r="CC53" i="44"/>
  <c r="CB53" i="44"/>
  <c r="CA53" i="44"/>
  <c r="BZ53" i="44"/>
  <c r="BY53" i="44"/>
  <c r="BX53" i="44"/>
  <c r="BW53" i="44"/>
  <c r="BU53" i="44"/>
  <c r="BT53" i="44"/>
  <c r="BS53" i="44"/>
  <c r="BQ53" i="44"/>
  <c r="BP53" i="44"/>
  <c r="BN53" i="44"/>
  <c r="BM53" i="44"/>
  <c r="BL53" i="44"/>
  <c r="BK53" i="44"/>
  <c r="BJ53" i="44"/>
  <c r="BI53" i="44"/>
  <c r="BB53" i="44"/>
  <c r="BA53" i="44"/>
  <c r="AZ53" i="44"/>
  <c r="AY53" i="44"/>
  <c r="AX53" i="44"/>
  <c r="AW53" i="44"/>
  <c r="AU53" i="44"/>
  <c r="AT53" i="44"/>
  <c r="AR53" i="44"/>
  <c r="AQ53" i="44"/>
  <c r="AP53" i="44"/>
  <c r="AN53" i="44"/>
  <c r="AM53" i="44"/>
  <c r="AK53" i="44"/>
  <c r="AJ53" i="44"/>
  <c r="AI53" i="44"/>
  <c r="FH52" i="44"/>
  <c r="FG52" i="44"/>
  <c r="FF52" i="44"/>
  <c r="EZ52" i="44"/>
  <c r="EX52" i="44"/>
  <c r="EW52" i="44"/>
  <c r="EV52" i="44"/>
  <c r="EU52" i="44"/>
  <c r="ET52" i="44"/>
  <c r="ES52" i="44"/>
  <c r="ER52" i="44"/>
  <c r="EQ52" i="44"/>
  <c r="EL52" i="44"/>
  <c r="EK52" i="44"/>
  <c r="EH52" i="44"/>
  <c r="EG52" i="44"/>
  <c r="EF52" i="44"/>
  <c r="EE52" i="44"/>
  <c r="ED52" i="44"/>
  <c r="EB52" i="44"/>
  <c r="EA52" i="44"/>
  <c r="DZ52" i="44"/>
  <c r="DY52" i="44"/>
  <c r="DX52" i="44"/>
  <c r="DW52" i="44"/>
  <c r="DV52" i="44"/>
  <c r="DU52" i="44"/>
  <c r="DT52" i="44"/>
  <c r="DR52" i="44"/>
  <c r="DP52" i="44"/>
  <c r="DO52" i="44"/>
  <c r="DN52" i="44"/>
  <c r="DM52" i="44"/>
  <c r="DL52" i="44"/>
  <c r="DK52" i="44"/>
  <c r="DJ52" i="44"/>
  <c r="DI52" i="44"/>
  <c r="DH52" i="44"/>
  <c r="DG52" i="44"/>
  <c r="DF52" i="44"/>
  <c r="DD52" i="44"/>
  <c r="DC52" i="44"/>
  <c r="DB52" i="44"/>
  <c r="CZ52" i="44"/>
  <c r="CY52" i="44"/>
  <c r="CX52" i="44"/>
  <c r="CW52" i="44"/>
  <c r="CQ52" i="44"/>
  <c r="CO52" i="44"/>
  <c r="CN52" i="44"/>
  <c r="CM52" i="44"/>
  <c r="CL52" i="44"/>
  <c r="CK52" i="44"/>
  <c r="CJ52" i="44"/>
  <c r="CI52" i="44"/>
  <c r="CH52" i="44"/>
  <c r="CG52" i="44"/>
  <c r="CF52" i="44"/>
  <c r="CD52" i="44"/>
  <c r="CC52" i="44"/>
  <c r="CB52" i="44"/>
  <c r="CA52" i="44"/>
  <c r="BZ52" i="44"/>
  <c r="BY52" i="44"/>
  <c r="BX52" i="44"/>
  <c r="BW52" i="44"/>
  <c r="BU52" i="44"/>
  <c r="BT52" i="44"/>
  <c r="BS52" i="44"/>
  <c r="BQ52" i="44"/>
  <c r="BP52" i="44"/>
  <c r="BN52" i="44"/>
  <c r="BM52" i="44"/>
  <c r="BL52" i="44"/>
  <c r="BK52" i="44"/>
  <c r="BJ52" i="44"/>
  <c r="BI52" i="44"/>
  <c r="BB52" i="44"/>
  <c r="BA52" i="44"/>
  <c r="AZ52" i="44"/>
  <c r="AY52" i="44"/>
  <c r="AX52" i="44"/>
  <c r="AW52" i="44"/>
  <c r="AU52" i="44"/>
  <c r="AT52" i="44"/>
  <c r="AR52" i="44"/>
  <c r="AQ52" i="44"/>
  <c r="AP52" i="44"/>
  <c r="AN52" i="44"/>
  <c r="AM52" i="44"/>
  <c r="AK52" i="44"/>
  <c r="AJ52" i="44"/>
  <c r="AI52" i="44"/>
  <c r="FH51" i="44"/>
  <c r="FG51" i="44"/>
  <c r="FF51" i="44"/>
  <c r="EZ51" i="44"/>
  <c r="EX51" i="44"/>
  <c r="EW51" i="44"/>
  <c r="EV51" i="44"/>
  <c r="EU51" i="44"/>
  <c r="ET51" i="44"/>
  <c r="ES51" i="44"/>
  <c r="ER51" i="44"/>
  <c r="EQ51" i="44"/>
  <c r="EL51" i="44"/>
  <c r="EK51" i="44"/>
  <c r="EH51" i="44"/>
  <c r="EG51" i="44"/>
  <c r="EF51" i="44"/>
  <c r="EE51" i="44"/>
  <c r="ED51" i="44"/>
  <c r="EB51" i="44"/>
  <c r="EA51" i="44"/>
  <c r="DZ51" i="44"/>
  <c r="DY51" i="44"/>
  <c r="DX51" i="44"/>
  <c r="DW51" i="44"/>
  <c r="DV51" i="44"/>
  <c r="DU51" i="44"/>
  <c r="DT51" i="44"/>
  <c r="DR51" i="44"/>
  <c r="DP51" i="44"/>
  <c r="DO51" i="44"/>
  <c r="DN51" i="44"/>
  <c r="DM51" i="44"/>
  <c r="DL51" i="44"/>
  <c r="DK51" i="44"/>
  <c r="DJ51" i="44"/>
  <c r="DI51" i="44"/>
  <c r="DH51" i="44"/>
  <c r="DG51" i="44"/>
  <c r="DF51" i="44"/>
  <c r="DD51" i="44"/>
  <c r="DC51" i="44"/>
  <c r="DB51" i="44"/>
  <c r="CZ51" i="44"/>
  <c r="CY51" i="44"/>
  <c r="CX51" i="44"/>
  <c r="CW51" i="44"/>
  <c r="CQ51" i="44"/>
  <c r="CO51" i="44"/>
  <c r="CN51" i="44"/>
  <c r="CM51" i="44"/>
  <c r="CL51" i="44"/>
  <c r="CK51" i="44"/>
  <c r="CJ51" i="44"/>
  <c r="CI51" i="44"/>
  <c r="CH51" i="44"/>
  <c r="CG51" i="44"/>
  <c r="CF51" i="44"/>
  <c r="CD51" i="44"/>
  <c r="CC51" i="44"/>
  <c r="CB51" i="44"/>
  <c r="CA51" i="44"/>
  <c r="BZ51" i="44"/>
  <c r="BY51" i="44"/>
  <c r="BX51" i="44"/>
  <c r="BW51" i="44"/>
  <c r="BU51" i="44"/>
  <c r="BT51" i="44"/>
  <c r="BS51" i="44"/>
  <c r="BQ51" i="44"/>
  <c r="BP51" i="44"/>
  <c r="BN51" i="44"/>
  <c r="BM51" i="44"/>
  <c r="BL51" i="44"/>
  <c r="BK51" i="44"/>
  <c r="BJ51" i="44"/>
  <c r="BI51" i="44"/>
  <c r="BB51" i="44"/>
  <c r="BA51" i="44"/>
  <c r="AZ51" i="44"/>
  <c r="AY51" i="44"/>
  <c r="AX51" i="44"/>
  <c r="AW51" i="44"/>
  <c r="AU51" i="44"/>
  <c r="AT51" i="44"/>
  <c r="AR51" i="44"/>
  <c r="AQ51" i="44"/>
  <c r="AP51" i="44"/>
  <c r="AN51" i="44"/>
  <c r="AM51" i="44"/>
  <c r="AK51" i="44"/>
  <c r="AJ51" i="44"/>
  <c r="AI51" i="44"/>
  <c r="FH50" i="44"/>
  <c r="FG50" i="44"/>
  <c r="FF50" i="44"/>
  <c r="EZ50" i="44"/>
  <c r="EX50" i="44"/>
  <c r="EW50" i="44"/>
  <c r="EV50" i="44"/>
  <c r="EU50" i="44"/>
  <c r="ET50" i="44"/>
  <c r="ES50" i="44"/>
  <c r="ER50" i="44"/>
  <c r="EQ50" i="44"/>
  <c r="EL50" i="44"/>
  <c r="EK50" i="44"/>
  <c r="EH50" i="44"/>
  <c r="EG50" i="44"/>
  <c r="EF50" i="44"/>
  <c r="EE50" i="44"/>
  <c r="ED50" i="44"/>
  <c r="EB50" i="44"/>
  <c r="EA50" i="44"/>
  <c r="DZ50" i="44"/>
  <c r="DY50" i="44"/>
  <c r="DX50" i="44"/>
  <c r="DW50" i="44"/>
  <c r="DV50" i="44"/>
  <c r="DU50" i="44"/>
  <c r="DT50" i="44"/>
  <c r="DR50" i="44"/>
  <c r="DP50" i="44"/>
  <c r="DO50" i="44"/>
  <c r="DN50" i="44"/>
  <c r="DM50" i="44"/>
  <c r="DL50" i="44"/>
  <c r="DK50" i="44"/>
  <c r="DJ50" i="44"/>
  <c r="DI50" i="44"/>
  <c r="DH50" i="44"/>
  <c r="DG50" i="44"/>
  <c r="DF50" i="44"/>
  <c r="DD50" i="44"/>
  <c r="DC50" i="44"/>
  <c r="DB50" i="44"/>
  <c r="CZ50" i="44"/>
  <c r="CY50" i="44"/>
  <c r="CX50" i="44"/>
  <c r="CW50" i="44"/>
  <c r="CQ50" i="44"/>
  <c r="CO50" i="44"/>
  <c r="CN50" i="44"/>
  <c r="CM50" i="44"/>
  <c r="CL50" i="44"/>
  <c r="CK50" i="44"/>
  <c r="CJ50" i="44"/>
  <c r="CI50" i="44"/>
  <c r="CH50" i="44"/>
  <c r="CG50" i="44"/>
  <c r="CF50" i="44"/>
  <c r="CD50" i="44"/>
  <c r="CC50" i="44"/>
  <c r="CB50" i="44"/>
  <c r="CA50" i="44"/>
  <c r="BZ50" i="44"/>
  <c r="BY50" i="44"/>
  <c r="BX50" i="44"/>
  <c r="BW50" i="44"/>
  <c r="BU50" i="44"/>
  <c r="BT50" i="44"/>
  <c r="BS50" i="44"/>
  <c r="BQ50" i="44"/>
  <c r="BP50" i="44"/>
  <c r="BN50" i="44"/>
  <c r="BM50" i="44"/>
  <c r="BL50" i="44"/>
  <c r="BK50" i="44"/>
  <c r="BJ50" i="44"/>
  <c r="BI50" i="44"/>
  <c r="BB50" i="44"/>
  <c r="BA50" i="44"/>
  <c r="AZ50" i="44"/>
  <c r="AY50" i="44"/>
  <c r="AX50" i="44"/>
  <c r="AW50" i="44"/>
  <c r="AU50" i="44"/>
  <c r="AT50" i="44"/>
  <c r="AR50" i="44"/>
  <c r="AQ50" i="44"/>
  <c r="AP50" i="44"/>
  <c r="AN50" i="44"/>
  <c r="AM50" i="44"/>
  <c r="AK50" i="44"/>
  <c r="AJ50" i="44"/>
  <c r="AI50" i="44"/>
  <c r="FH49" i="44"/>
  <c r="FG49" i="44"/>
  <c r="FF49" i="44"/>
  <c r="EZ49" i="44"/>
  <c r="EX49" i="44"/>
  <c r="EW49" i="44"/>
  <c r="EV49" i="44"/>
  <c r="EU49" i="44"/>
  <c r="ET49" i="44"/>
  <c r="ES49" i="44"/>
  <c r="ER49" i="44"/>
  <c r="EQ49" i="44"/>
  <c r="EL49" i="44"/>
  <c r="EK49" i="44"/>
  <c r="EH49" i="44"/>
  <c r="EG49" i="44"/>
  <c r="EF49" i="44"/>
  <c r="EE49" i="44"/>
  <c r="ED49" i="44"/>
  <c r="EB49" i="44"/>
  <c r="EA49" i="44"/>
  <c r="DZ49" i="44"/>
  <c r="DY49" i="44"/>
  <c r="DX49" i="44"/>
  <c r="DW49" i="44"/>
  <c r="DV49" i="44"/>
  <c r="DU49" i="44"/>
  <c r="DT49" i="44"/>
  <c r="DR49" i="44"/>
  <c r="DP49" i="44"/>
  <c r="DO49" i="44"/>
  <c r="DN49" i="44"/>
  <c r="DM49" i="44"/>
  <c r="DL49" i="44"/>
  <c r="DK49" i="44"/>
  <c r="DJ49" i="44"/>
  <c r="DI49" i="44"/>
  <c r="DH49" i="44"/>
  <c r="DG49" i="44"/>
  <c r="DF49" i="44"/>
  <c r="DD49" i="44"/>
  <c r="DC49" i="44"/>
  <c r="DB49" i="44"/>
  <c r="CZ49" i="44"/>
  <c r="CY49" i="44"/>
  <c r="CX49" i="44"/>
  <c r="CW49" i="44"/>
  <c r="CQ49" i="44"/>
  <c r="CO49" i="44"/>
  <c r="CN49" i="44"/>
  <c r="CM49" i="44"/>
  <c r="CL49" i="44"/>
  <c r="CK49" i="44"/>
  <c r="CJ49" i="44"/>
  <c r="CI49" i="44"/>
  <c r="CH49" i="44"/>
  <c r="CG49" i="44"/>
  <c r="CF49" i="44"/>
  <c r="CD49" i="44"/>
  <c r="CC49" i="44"/>
  <c r="CB49" i="44"/>
  <c r="CA49" i="44"/>
  <c r="BZ49" i="44"/>
  <c r="BY49" i="44"/>
  <c r="BX49" i="44"/>
  <c r="BW49" i="44"/>
  <c r="BU49" i="44"/>
  <c r="BT49" i="44"/>
  <c r="BS49" i="44"/>
  <c r="BQ49" i="44"/>
  <c r="BP49" i="44"/>
  <c r="BN49" i="44"/>
  <c r="BM49" i="44"/>
  <c r="BL49" i="44"/>
  <c r="BK49" i="44"/>
  <c r="BJ49" i="44"/>
  <c r="BI49" i="44"/>
  <c r="BB49" i="44"/>
  <c r="BA49" i="44"/>
  <c r="AZ49" i="44"/>
  <c r="AY49" i="44"/>
  <c r="AX49" i="44"/>
  <c r="AW49" i="44"/>
  <c r="AU49" i="44"/>
  <c r="AT49" i="44"/>
  <c r="AR49" i="44"/>
  <c r="AQ49" i="44"/>
  <c r="AP49" i="44"/>
  <c r="AN49" i="44"/>
  <c r="AM49" i="44"/>
  <c r="AK49" i="44"/>
  <c r="AJ49" i="44"/>
  <c r="AI49" i="44"/>
  <c r="FH48" i="44"/>
  <c r="FG48" i="44"/>
  <c r="FF48" i="44"/>
  <c r="EZ48" i="44"/>
  <c r="EX48" i="44"/>
  <c r="EW48" i="44"/>
  <c r="EV48" i="44"/>
  <c r="EU48" i="44"/>
  <c r="ET48" i="44"/>
  <c r="ES48" i="44"/>
  <c r="ER48" i="44"/>
  <c r="EQ48" i="44"/>
  <c r="EL48" i="44"/>
  <c r="EK48" i="44"/>
  <c r="EH48" i="44"/>
  <c r="EG48" i="44"/>
  <c r="EF48" i="44"/>
  <c r="EE48" i="44"/>
  <c r="ED48" i="44"/>
  <c r="EB48" i="44"/>
  <c r="EA48" i="44"/>
  <c r="DZ48" i="44"/>
  <c r="DY48" i="44"/>
  <c r="DX48" i="44"/>
  <c r="DW48" i="44"/>
  <c r="DV48" i="44"/>
  <c r="DU48" i="44"/>
  <c r="DT48" i="44"/>
  <c r="DR48" i="44"/>
  <c r="DP48" i="44"/>
  <c r="DO48" i="44"/>
  <c r="DN48" i="44"/>
  <c r="DM48" i="44"/>
  <c r="DL48" i="44"/>
  <c r="DK48" i="44"/>
  <c r="DJ48" i="44"/>
  <c r="DI48" i="44"/>
  <c r="DH48" i="44"/>
  <c r="DG48" i="44"/>
  <c r="DF48" i="44"/>
  <c r="DD48" i="44"/>
  <c r="DC48" i="44"/>
  <c r="DB48" i="44"/>
  <c r="CZ48" i="44"/>
  <c r="CY48" i="44"/>
  <c r="CX48" i="44"/>
  <c r="CW48" i="44"/>
  <c r="CQ48" i="44"/>
  <c r="CO48" i="44"/>
  <c r="CN48" i="44"/>
  <c r="CM48" i="44"/>
  <c r="CL48" i="44"/>
  <c r="CK48" i="44"/>
  <c r="CJ48" i="44"/>
  <c r="CI48" i="44"/>
  <c r="CH48" i="44"/>
  <c r="CG48" i="44"/>
  <c r="CF48" i="44"/>
  <c r="CD48" i="44"/>
  <c r="CC48" i="44"/>
  <c r="CB48" i="44"/>
  <c r="CA48" i="44"/>
  <c r="BZ48" i="44"/>
  <c r="BY48" i="44"/>
  <c r="BX48" i="44"/>
  <c r="BW48" i="44"/>
  <c r="BU48" i="44"/>
  <c r="BT48" i="44"/>
  <c r="BS48" i="44"/>
  <c r="BQ48" i="44"/>
  <c r="BP48" i="44"/>
  <c r="BN48" i="44"/>
  <c r="BM48" i="44"/>
  <c r="BL48" i="44"/>
  <c r="BK48" i="44"/>
  <c r="BJ48" i="44"/>
  <c r="BI48" i="44"/>
  <c r="BB48" i="44"/>
  <c r="BA48" i="44"/>
  <c r="AZ48" i="44"/>
  <c r="AY48" i="44"/>
  <c r="AX48" i="44"/>
  <c r="AW48" i="44"/>
  <c r="AU48" i="44"/>
  <c r="AT48" i="44"/>
  <c r="AR48" i="44"/>
  <c r="AQ48" i="44"/>
  <c r="AP48" i="44"/>
  <c r="AN48" i="44"/>
  <c r="AM48" i="44"/>
  <c r="AK48" i="44"/>
  <c r="AJ48" i="44"/>
  <c r="AI48" i="44"/>
  <c r="Y45" i="44"/>
  <c r="FH47" i="44"/>
  <c r="FG47" i="44"/>
  <c r="FF47" i="44"/>
  <c r="EZ47" i="44"/>
  <c r="EX47" i="44"/>
  <c r="EW47" i="44"/>
  <c r="EV47" i="44"/>
  <c r="EU47" i="44"/>
  <c r="ET47" i="44"/>
  <c r="ES47" i="44"/>
  <c r="ER47" i="44"/>
  <c r="EQ47" i="44"/>
  <c r="EL47" i="44"/>
  <c r="EK47" i="44"/>
  <c r="EH47" i="44"/>
  <c r="EG47" i="44"/>
  <c r="EF47" i="44"/>
  <c r="EE47" i="44"/>
  <c r="ED47" i="44"/>
  <c r="EB47" i="44"/>
  <c r="EA47" i="44"/>
  <c r="DZ47" i="44"/>
  <c r="DY47" i="44"/>
  <c r="DX47" i="44"/>
  <c r="DW47" i="44"/>
  <c r="DV47" i="44"/>
  <c r="DU47" i="44"/>
  <c r="DT47" i="44"/>
  <c r="DR47" i="44"/>
  <c r="DP47" i="44"/>
  <c r="DO47" i="44"/>
  <c r="DN47" i="44"/>
  <c r="DM47" i="44"/>
  <c r="DL47" i="44"/>
  <c r="DK47" i="44"/>
  <c r="DJ47" i="44"/>
  <c r="DI47" i="44"/>
  <c r="DH47" i="44"/>
  <c r="DG47" i="44"/>
  <c r="DF47" i="44"/>
  <c r="DD47" i="44"/>
  <c r="DC47" i="44"/>
  <c r="DB47" i="44"/>
  <c r="CZ47" i="44"/>
  <c r="CY47" i="44"/>
  <c r="CX47" i="44"/>
  <c r="CW47" i="44"/>
  <c r="CQ47" i="44"/>
  <c r="CO47" i="44"/>
  <c r="CN47" i="44"/>
  <c r="CM47" i="44"/>
  <c r="CL47" i="44"/>
  <c r="CK47" i="44"/>
  <c r="CJ47" i="44"/>
  <c r="CI47" i="44"/>
  <c r="CH47" i="44"/>
  <c r="CG47" i="44"/>
  <c r="CF47" i="44"/>
  <c r="CD47" i="44"/>
  <c r="CC47" i="44"/>
  <c r="CB47" i="44"/>
  <c r="CA47" i="44"/>
  <c r="BZ47" i="44"/>
  <c r="BY47" i="44"/>
  <c r="BX47" i="44"/>
  <c r="BW47" i="44"/>
  <c r="BU47" i="44"/>
  <c r="BT47" i="44"/>
  <c r="BS47" i="44"/>
  <c r="BQ47" i="44"/>
  <c r="BP47" i="44"/>
  <c r="BN47" i="44"/>
  <c r="BM47" i="44"/>
  <c r="BL47" i="44"/>
  <c r="BK47" i="44"/>
  <c r="BJ47" i="44"/>
  <c r="BI47" i="44"/>
  <c r="BB47" i="44"/>
  <c r="BA47" i="44"/>
  <c r="AZ47" i="44"/>
  <c r="AY47" i="44"/>
  <c r="AX47" i="44"/>
  <c r="AW47" i="44"/>
  <c r="AU47" i="44"/>
  <c r="AT47" i="44"/>
  <c r="AR47" i="44"/>
  <c r="AQ47" i="44"/>
  <c r="AP47" i="44"/>
  <c r="AN47" i="44"/>
  <c r="AM47" i="44"/>
  <c r="AK47" i="44"/>
  <c r="AJ47" i="44"/>
  <c r="AI47" i="44"/>
  <c r="Y44" i="44"/>
  <c r="FH45" i="44"/>
  <c r="FG45" i="44"/>
  <c r="FF45" i="44"/>
  <c r="EZ45" i="44"/>
  <c r="EX45" i="44"/>
  <c r="EW45" i="44"/>
  <c r="EV45" i="44"/>
  <c r="EU45" i="44"/>
  <c r="ET45" i="44"/>
  <c r="ES45" i="44"/>
  <c r="ER45" i="44"/>
  <c r="EQ45" i="44"/>
  <c r="EL45" i="44"/>
  <c r="EK45" i="44"/>
  <c r="EH45" i="44"/>
  <c r="EG45" i="44"/>
  <c r="EF45" i="44"/>
  <c r="EE45" i="44"/>
  <c r="ED45" i="44"/>
  <c r="EB45" i="44"/>
  <c r="EA45" i="44"/>
  <c r="DZ45" i="44"/>
  <c r="DY45" i="44"/>
  <c r="DX45" i="44"/>
  <c r="DW45" i="44"/>
  <c r="DV45" i="44"/>
  <c r="DU45" i="44"/>
  <c r="DT45" i="44"/>
  <c r="DR45" i="44"/>
  <c r="DP45" i="44"/>
  <c r="DO45" i="44"/>
  <c r="DN45" i="44"/>
  <c r="DM45" i="44"/>
  <c r="DL45" i="44"/>
  <c r="DK45" i="44"/>
  <c r="DJ45" i="44"/>
  <c r="DI45" i="44"/>
  <c r="DH45" i="44"/>
  <c r="DG45" i="44"/>
  <c r="DF45" i="44"/>
  <c r="DD45" i="44"/>
  <c r="DC45" i="44"/>
  <c r="DB45" i="44"/>
  <c r="CZ45" i="44"/>
  <c r="CY45" i="44"/>
  <c r="CX45" i="44"/>
  <c r="CW45" i="44"/>
  <c r="CQ45" i="44"/>
  <c r="CO45" i="44"/>
  <c r="CN45" i="44"/>
  <c r="CM45" i="44"/>
  <c r="CL45" i="44"/>
  <c r="CK45" i="44"/>
  <c r="CJ45" i="44"/>
  <c r="CI45" i="44"/>
  <c r="CH45" i="44"/>
  <c r="CG45" i="44"/>
  <c r="CF45" i="44"/>
  <c r="CD45" i="44"/>
  <c r="CC45" i="44"/>
  <c r="CB45" i="44"/>
  <c r="CA45" i="44"/>
  <c r="BZ45" i="44"/>
  <c r="BY45" i="44"/>
  <c r="BX45" i="44"/>
  <c r="BW45" i="44"/>
  <c r="BU45" i="44"/>
  <c r="BT45" i="44"/>
  <c r="BS45" i="44"/>
  <c r="BQ45" i="44"/>
  <c r="BP45" i="44"/>
  <c r="BN45" i="44"/>
  <c r="BM45" i="44"/>
  <c r="BL45" i="44"/>
  <c r="BK45" i="44"/>
  <c r="BJ45" i="44"/>
  <c r="BI45" i="44"/>
  <c r="BB45" i="44"/>
  <c r="BA45" i="44"/>
  <c r="AZ45" i="44"/>
  <c r="AY45" i="44"/>
  <c r="AX45" i="44"/>
  <c r="AW45" i="44"/>
  <c r="AU45" i="44"/>
  <c r="AT45" i="44"/>
  <c r="AR45" i="44"/>
  <c r="AQ45" i="44"/>
  <c r="AP45" i="44"/>
  <c r="AN45" i="44"/>
  <c r="AM45" i="44"/>
  <c r="AK45" i="44"/>
  <c r="AJ45" i="44"/>
  <c r="AI45" i="44"/>
  <c r="Y43" i="44"/>
  <c r="FH44" i="44"/>
  <c r="FG44" i="44"/>
  <c r="FF44" i="44"/>
  <c r="EZ44" i="44"/>
  <c r="EX44" i="44"/>
  <c r="EW44" i="44"/>
  <c r="EV44" i="44"/>
  <c r="EU44" i="44"/>
  <c r="ET44" i="44"/>
  <c r="ES44" i="44"/>
  <c r="ER44" i="44"/>
  <c r="EQ44" i="44"/>
  <c r="EL44" i="44"/>
  <c r="EK44" i="44"/>
  <c r="EH44" i="44"/>
  <c r="EG44" i="44"/>
  <c r="EF44" i="44"/>
  <c r="EE44" i="44"/>
  <c r="ED44" i="44"/>
  <c r="EB44" i="44"/>
  <c r="EA44" i="44"/>
  <c r="DZ44" i="44"/>
  <c r="DY44" i="44"/>
  <c r="DX44" i="44"/>
  <c r="DW44" i="44"/>
  <c r="DV44" i="44"/>
  <c r="DU44" i="44"/>
  <c r="DT44" i="44"/>
  <c r="DR44" i="44"/>
  <c r="DP44" i="44"/>
  <c r="DO44" i="44"/>
  <c r="DN44" i="44"/>
  <c r="DM44" i="44"/>
  <c r="DL44" i="44"/>
  <c r="DK44" i="44"/>
  <c r="DJ44" i="44"/>
  <c r="DI44" i="44"/>
  <c r="DH44" i="44"/>
  <c r="DG44" i="44"/>
  <c r="DF44" i="44"/>
  <c r="DD44" i="44"/>
  <c r="DC44" i="44"/>
  <c r="DB44" i="44"/>
  <c r="CZ44" i="44"/>
  <c r="CY44" i="44"/>
  <c r="CX44" i="44"/>
  <c r="CW44" i="44"/>
  <c r="CQ44" i="44"/>
  <c r="CO44" i="44"/>
  <c r="CN44" i="44"/>
  <c r="CM44" i="44"/>
  <c r="CL44" i="44"/>
  <c r="CK44" i="44"/>
  <c r="CJ44" i="44"/>
  <c r="CI44" i="44"/>
  <c r="CH44" i="44"/>
  <c r="CG44" i="44"/>
  <c r="CF44" i="44"/>
  <c r="CD44" i="44"/>
  <c r="CC44" i="44"/>
  <c r="CB44" i="44"/>
  <c r="CA44" i="44"/>
  <c r="BZ44" i="44"/>
  <c r="BY44" i="44"/>
  <c r="BX44" i="44"/>
  <c r="BW44" i="44"/>
  <c r="BU44" i="44"/>
  <c r="BT44" i="44"/>
  <c r="BS44" i="44"/>
  <c r="BQ44" i="44"/>
  <c r="BP44" i="44"/>
  <c r="BN44" i="44"/>
  <c r="BM44" i="44"/>
  <c r="BL44" i="44"/>
  <c r="BK44" i="44"/>
  <c r="BJ44" i="44"/>
  <c r="BI44" i="44"/>
  <c r="BB44" i="44"/>
  <c r="BA44" i="44"/>
  <c r="AZ44" i="44"/>
  <c r="AY44" i="44"/>
  <c r="AX44" i="44"/>
  <c r="AW44" i="44"/>
  <c r="AU44" i="44"/>
  <c r="AT44" i="44"/>
  <c r="AR44" i="44"/>
  <c r="AQ44" i="44"/>
  <c r="AP44" i="44"/>
  <c r="AN44" i="44"/>
  <c r="AM44" i="44"/>
  <c r="AK44" i="44"/>
  <c r="AJ44" i="44"/>
  <c r="AI44" i="44"/>
  <c r="Y42" i="44"/>
  <c r="FH43" i="44"/>
  <c r="FG43" i="44"/>
  <c r="FF43" i="44"/>
  <c r="EZ43" i="44"/>
  <c r="EX43" i="44"/>
  <c r="EW43" i="44"/>
  <c r="EV43" i="44"/>
  <c r="EU43" i="44"/>
  <c r="ET43" i="44"/>
  <c r="ES43" i="44"/>
  <c r="ER43" i="44"/>
  <c r="EQ43" i="44"/>
  <c r="EL43" i="44"/>
  <c r="EK43" i="44"/>
  <c r="EH43" i="44"/>
  <c r="EG43" i="44"/>
  <c r="EF43" i="44"/>
  <c r="EE43" i="44"/>
  <c r="ED43" i="44"/>
  <c r="EB43" i="44"/>
  <c r="EA43" i="44"/>
  <c r="DZ43" i="44"/>
  <c r="DY43" i="44"/>
  <c r="DX43" i="44"/>
  <c r="DW43" i="44"/>
  <c r="DV43" i="44"/>
  <c r="DU43" i="44"/>
  <c r="DT43" i="44"/>
  <c r="DR43" i="44"/>
  <c r="DP43" i="44"/>
  <c r="DO43" i="44"/>
  <c r="DN43" i="44"/>
  <c r="DM43" i="44"/>
  <c r="DL43" i="44"/>
  <c r="DK43" i="44"/>
  <c r="DJ43" i="44"/>
  <c r="DI43" i="44"/>
  <c r="DH43" i="44"/>
  <c r="DG43" i="44"/>
  <c r="DF43" i="44"/>
  <c r="DD43" i="44"/>
  <c r="DC43" i="44"/>
  <c r="DB43" i="44"/>
  <c r="CZ43" i="44"/>
  <c r="CY43" i="44"/>
  <c r="CX43" i="44"/>
  <c r="CW43" i="44"/>
  <c r="CQ43" i="44"/>
  <c r="CO43" i="44"/>
  <c r="CN43" i="44"/>
  <c r="CM43" i="44"/>
  <c r="CL43" i="44"/>
  <c r="CK43" i="44"/>
  <c r="CJ43" i="44"/>
  <c r="CI43" i="44"/>
  <c r="CH43" i="44"/>
  <c r="CG43" i="44"/>
  <c r="CF43" i="44"/>
  <c r="CD43" i="44"/>
  <c r="CC43" i="44"/>
  <c r="CB43" i="44"/>
  <c r="CA43" i="44"/>
  <c r="BZ43" i="44"/>
  <c r="BY43" i="44"/>
  <c r="BX43" i="44"/>
  <c r="BW43" i="44"/>
  <c r="BU43" i="44"/>
  <c r="BT43" i="44"/>
  <c r="BS43" i="44"/>
  <c r="BQ43" i="44"/>
  <c r="BP43" i="44"/>
  <c r="BN43" i="44"/>
  <c r="BM43" i="44"/>
  <c r="BL43" i="44"/>
  <c r="BK43" i="44"/>
  <c r="BJ43" i="44"/>
  <c r="BI43" i="44"/>
  <c r="BB43" i="44"/>
  <c r="BA43" i="44"/>
  <c r="AZ43" i="44"/>
  <c r="AY43" i="44"/>
  <c r="AX43" i="44"/>
  <c r="AW43" i="44"/>
  <c r="AU43" i="44"/>
  <c r="AT43" i="44"/>
  <c r="AR43" i="44"/>
  <c r="AQ43" i="44"/>
  <c r="AP43" i="44"/>
  <c r="AN43" i="44"/>
  <c r="AM43" i="44"/>
  <c r="AK43" i="44"/>
  <c r="AJ43" i="44"/>
  <c r="AI43" i="44"/>
  <c r="FH42" i="44"/>
  <c r="FG42" i="44"/>
  <c r="FF42" i="44"/>
  <c r="EZ42" i="44"/>
  <c r="EX42" i="44"/>
  <c r="EW42" i="44"/>
  <c r="EV42" i="44"/>
  <c r="EU42" i="44"/>
  <c r="ET42" i="44"/>
  <c r="ES42" i="44"/>
  <c r="ER42" i="44"/>
  <c r="EQ42" i="44"/>
  <c r="EL42" i="44"/>
  <c r="EK42" i="44"/>
  <c r="EH42" i="44"/>
  <c r="EG42" i="44"/>
  <c r="EF42" i="44"/>
  <c r="EE42" i="44"/>
  <c r="ED42" i="44"/>
  <c r="EB42" i="44"/>
  <c r="EA42" i="44"/>
  <c r="DZ42" i="44"/>
  <c r="DY42" i="44"/>
  <c r="DX42" i="44"/>
  <c r="DW42" i="44"/>
  <c r="DV42" i="44"/>
  <c r="DU42" i="44"/>
  <c r="DT42" i="44"/>
  <c r="DR42" i="44"/>
  <c r="DP42" i="44"/>
  <c r="DO42" i="44"/>
  <c r="DN42" i="44"/>
  <c r="DM42" i="44"/>
  <c r="DL42" i="44"/>
  <c r="DK42" i="44"/>
  <c r="DJ42" i="44"/>
  <c r="DI42" i="44"/>
  <c r="DH42" i="44"/>
  <c r="DG42" i="44"/>
  <c r="DF42" i="44"/>
  <c r="DD42" i="44"/>
  <c r="DC42" i="44"/>
  <c r="DB42" i="44"/>
  <c r="CZ42" i="44"/>
  <c r="CY42" i="44"/>
  <c r="CX42" i="44"/>
  <c r="CW42" i="44"/>
  <c r="CQ42" i="44"/>
  <c r="CO42" i="44"/>
  <c r="CN42" i="44"/>
  <c r="CM42" i="44"/>
  <c r="CL42" i="44"/>
  <c r="CK42" i="44"/>
  <c r="CJ42" i="44"/>
  <c r="CI42" i="44"/>
  <c r="CH42" i="44"/>
  <c r="CG42" i="44"/>
  <c r="CF42" i="44"/>
  <c r="CD42" i="44"/>
  <c r="CC42" i="44"/>
  <c r="CB42" i="44"/>
  <c r="CA42" i="44"/>
  <c r="BZ42" i="44"/>
  <c r="BY42" i="44"/>
  <c r="BX42" i="44"/>
  <c r="BW42" i="44"/>
  <c r="BU42" i="44"/>
  <c r="BT42" i="44"/>
  <c r="BS42" i="44"/>
  <c r="BQ42" i="44"/>
  <c r="BP42" i="44"/>
  <c r="BN42" i="44"/>
  <c r="BM42" i="44"/>
  <c r="BL42" i="44"/>
  <c r="BK42" i="44"/>
  <c r="BJ42" i="44"/>
  <c r="BI42" i="44"/>
  <c r="BB42" i="44"/>
  <c r="BA42" i="44"/>
  <c r="AZ42" i="44"/>
  <c r="AY42" i="44"/>
  <c r="AX42" i="44"/>
  <c r="AW42" i="44"/>
  <c r="AU42" i="44"/>
  <c r="AT42" i="44"/>
  <c r="AR42" i="44"/>
  <c r="AQ42" i="44"/>
  <c r="AP42" i="44"/>
  <c r="AN42" i="44"/>
  <c r="AM42" i="44"/>
  <c r="AK42" i="44"/>
  <c r="AJ42" i="44"/>
  <c r="AI42" i="44"/>
  <c r="Y39" i="44"/>
  <c r="FH41" i="44"/>
  <c r="FG41" i="44"/>
  <c r="FF41" i="44"/>
  <c r="EZ41" i="44"/>
  <c r="EX41" i="44"/>
  <c r="EW41" i="44"/>
  <c r="EV41" i="44"/>
  <c r="EU41" i="44"/>
  <c r="ET41" i="44"/>
  <c r="ES41" i="44"/>
  <c r="ER41" i="44"/>
  <c r="EQ41" i="44"/>
  <c r="EL41" i="44"/>
  <c r="EK41" i="44"/>
  <c r="EH41" i="44"/>
  <c r="EG41" i="44"/>
  <c r="EF41" i="44"/>
  <c r="EE41" i="44"/>
  <c r="ED41" i="44"/>
  <c r="EB41" i="44"/>
  <c r="EA41" i="44"/>
  <c r="DZ41" i="44"/>
  <c r="DY41" i="44"/>
  <c r="DX41" i="44"/>
  <c r="DW41" i="44"/>
  <c r="DV41" i="44"/>
  <c r="DU41" i="44"/>
  <c r="DT41" i="44"/>
  <c r="DR41" i="44"/>
  <c r="DP41" i="44"/>
  <c r="DO41" i="44"/>
  <c r="DN41" i="44"/>
  <c r="DM41" i="44"/>
  <c r="DL41" i="44"/>
  <c r="DK41" i="44"/>
  <c r="DJ41" i="44"/>
  <c r="DI41" i="44"/>
  <c r="DH41" i="44"/>
  <c r="DG41" i="44"/>
  <c r="DF41" i="44"/>
  <c r="DD41" i="44"/>
  <c r="DC41" i="44"/>
  <c r="DB41" i="44"/>
  <c r="CZ41" i="44"/>
  <c r="CY41" i="44"/>
  <c r="CX41" i="44"/>
  <c r="CW41" i="44"/>
  <c r="CQ41" i="44"/>
  <c r="CO41" i="44"/>
  <c r="CN41" i="44"/>
  <c r="CM41" i="44"/>
  <c r="CL41" i="44"/>
  <c r="CK41" i="44"/>
  <c r="CJ41" i="44"/>
  <c r="CI41" i="44"/>
  <c r="CH41" i="44"/>
  <c r="CG41" i="44"/>
  <c r="CF41" i="44"/>
  <c r="CD41" i="44"/>
  <c r="CC41" i="44"/>
  <c r="CB41" i="44"/>
  <c r="CA41" i="44"/>
  <c r="BZ41" i="44"/>
  <c r="BY41" i="44"/>
  <c r="BX41" i="44"/>
  <c r="BW41" i="44"/>
  <c r="BU41" i="44"/>
  <c r="BT41" i="44"/>
  <c r="BS41" i="44"/>
  <c r="BQ41" i="44"/>
  <c r="BP41" i="44"/>
  <c r="BN41" i="44"/>
  <c r="BM41" i="44"/>
  <c r="BL41" i="44"/>
  <c r="BK41" i="44"/>
  <c r="BJ41" i="44"/>
  <c r="BI41" i="44"/>
  <c r="BB41" i="44"/>
  <c r="BA41" i="44"/>
  <c r="AZ41" i="44"/>
  <c r="AY41" i="44"/>
  <c r="AX41" i="44"/>
  <c r="AW41" i="44"/>
  <c r="AU41" i="44"/>
  <c r="AT41" i="44"/>
  <c r="AR41" i="44"/>
  <c r="AQ41" i="44"/>
  <c r="AP41" i="44"/>
  <c r="AN41" i="44"/>
  <c r="AM41" i="44"/>
  <c r="AK41" i="44"/>
  <c r="AJ41" i="44"/>
  <c r="AI41" i="44"/>
  <c r="FH40" i="44"/>
  <c r="FG40" i="44"/>
  <c r="FF40" i="44"/>
  <c r="EZ40" i="44"/>
  <c r="EX40" i="44"/>
  <c r="EW40" i="44"/>
  <c r="EV40" i="44"/>
  <c r="EU40" i="44"/>
  <c r="ET40" i="44"/>
  <c r="ES40" i="44"/>
  <c r="ER40" i="44"/>
  <c r="EQ40" i="44"/>
  <c r="EL40" i="44"/>
  <c r="EK40" i="44"/>
  <c r="EH40" i="44"/>
  <c r="EG40" i="44"/>
  <c r="EF40" i="44"/>
  <c r="EE40" i="44"/>
  <c r="ED40" i="44"/>
  <c r="EB40" i="44"/>
  <c r="EA40" i="44"/>
  <c r="DZ40" i="44"/>
  <c r="DY40" i="44"/>
  <c r="DX40" i="44"/>
  <c r="DW40" i="44"/>
  <c r="DV40" i="44"/>
  <c r="DU40" i="44"/>
  <c r="DT40" i="44"/>
  <c r="DR40" i="44"/>
  <c r="DP40" i="44"/>
  <c r="DO40" i="44"/>
  <c r="DN40" i="44"/>
  <c r="DM40" i="44"/>
  <c r="DL40" i="44"/>
  <c r="DK40" i="44"/>
  <c r="DJ40" i="44"/>
  <c r="DI40" i="44"/>
  <c r="DH40" i="44"/>
  <c r="DG40" i="44"/>
  <c r="DF40" i="44"/>
  <c r="DD40" i="44"/>
  <c r="DC40" i="44"/>
  <c r="DB40" i="44"/>
  <c r="CZ40" i="44"/>
  <c r="CY40" i="44"/>
  <c r="CX40" i="44"/>
  <c r="CW40" i="44"/>
  <c r="CQ40" i="44"/>
  <c r="CO40" i="44"/>
  <c r="CN40" i="44"/>
  <c r="CM40" i="44"/>
  <c r="CL40" i="44"/>
  <c r="CK40" i="44"/>
  <c r="CJ40" i="44"/>
  <c r="CI40" i="44"/>
  <c r="CH40" i="44"/>
  <c r="CG40" i="44"/>
  <c r="CF40" i="44"/>
  <c r="CD40" i="44"/>
  <c r="CC40" i="44"/>
  <c r="CB40" i="44"/>
  <c r="CA40" i="44"/>
  <c r="BZ40" i="44"/>
  <c r="BY40" i="44"/>
  <c r="BX40" i="44"/>
  <c r="BW40" i="44"/>
  <c r="BU40" i="44"/>
  <c r="BT40" i="44"/>
  <c r="BS40" i="44"/>
  <c r="BQ40" i="44"/>
  <c r="BP40" i="44"/>
  <c r="BN40" i="44"/>
  <c r="BM40" i="44"/>
  <c r="BL40" i="44"/>
  <c r="BK40" i="44"/>
  <c r="BJ40" i="44"/>
  <c r="BI40" i="44"/>
  <c r="BB40" i="44"/>
  <c r="BA40" i="44"/>
  <c r="AZ40" i="44"/>
  <c r="AY40" i="44"/>
  <c r="AX40" i="44"/>
  <c r="AW40" i="44"/>
  <c r="AU40" i="44"/>
  <c r="AT40" i="44"/>
  <c r="AR40" i="44"/>
  <c r="AQ40" i="44"/>
  <c r="AP40" i="44"/>
  <c r="AN40" i="44"/>
  <c r="AM40" i="44"/>
  <c r="AK40" i="44"/>
  <c r="AJ40" i="44"/>
  <c r="AI40" i="44"/>
  <c r="Q38" i="44"/>
  <c r="FH39" i="44"/>
  <c r="FG39" i="44"/>
  <c r="FF39" i="44"/>
  <c r="EZ39" i="44"/>
  <c r="EX39" i="44"/>
  <c r="EW39" i="44"/>
  <c r="EV39" i="44"/>
  <c r="EU39" i="44"/>
  <c r="ET39" i="44"/>
  <c r="ES39" i="44"/>
  <c r="ER39" i="44"/>
  <c r="EQ39" i="44"/>
  <c r="EL39" i="44"/>
  <c r="EK39" i="44"/>
  <c r="EH39" i="44"/>
  <c r="EG39" i="44"/>
  <c r="EF39" i="44"/>
  <c r="EE39" i="44"/>
  <c r="ED39" i="44"/>
  <c r="EB39" i="44"/>
  <c r="EA39" i="44"/>
  <c r="DZ39" i="44"/>
  <c r="DY39" i="44"/>
  <c r="DX39" i="44"/>
  <c r="DW39" i="44"/>
  <c r="DV39" i="44"/>
  <c r="DU39" i="44"/>
  <c r="DT39" i="44"/>
  <c r="DR39" i="44"/>
  <c r="DP39" i="44"/>
  <c r="DO39" i="44"/>
  <c r="DN39" i="44"/>
  <c r="DM39" i="44"/>
  <c r="DL39" i="44"/>
  <c r="DK39" i="44"/>
  <c r="DJ39" i="44"/>
  <c r="DI39" i="44"/>
  <c r="DH39" i="44"/>
  <c r="DG39" i="44"/>
  <c r="DF39" i="44"/>
  <c r="DD39" i="44"/>
  <c r="DC39" i="44"/>
  <c r="DB39" i="44"/>
  <c r="CZ39" i="44"/>
  <c r="CY39" i="44"/>
  <c r="CX39" i="44"/>
  <c r="CW39" i="44"/>
  <c r="CQ39" i="44"/>
  <c r="CO39" i="44"/>
  <c r="CN39" i="44"/>
  <c r="CM39" i="44"/>
  <c r="CL39" i="44"/>
  <c r="CK39" i="44"/>
  <c r="CJ39" i="44"/>
  <c r="CI39" i="44"/>
  <c r="CH39" i="44"/>
  <c r="CG39" i="44"/>
  <c r="CF39" i="44"/>
  <c r="CD39" i="44"/>
  <c r="CC39" i="44"/>
  <c r="CB39" i="44"/>
  <c r="CA39" i="44"/>
  <c r="BZ39" i="44"/>
  <c r="BY39" i="44"/>
  <c r="BX39" i="44"/>
  <c r="BW39" i="44"/>
  <c r="BU39" i="44"/>
  <c r="BT39" i="44"/>
  <c r="BS39" i="44"/>
  <c r="BQ39" i="44"/>
  <c r="BP39" i="44"/>
  <c r="BN39" i="44"/>
  <c r="BM39" i="44"/>
  <c r="BL39" i="44"/>
  <c r="BK39" i="44"/>
  <c r="BJ39" i="44"/>
  <c r="BI39" i="44"/>
  <c r="BB39" i="44"/>
  <c r="BA39" i="44"/>
  <c r="AZ39" i="44"/>
  <c r="AY39" i="44"/>
  <c r="AX39" i="44"/>
  <c r="AW39" i="44"/>
  <c r="AU39" i="44"/>
  <c r="AT39" i="44"/>
  <c r="AR39" i="44"/>
  <c r="AQ39" i="44"/>
  <c r="AP39" i="44"/>
  <c r="AN39" i="44"/>
  <c r="AM39" i="44"/>
  <c r="AK39" i="44"/>
  <c r="AJ39" i="44"/>
  <c r="AI39" i="44"/>
  <c r="Q35" i="44"/>
  <c r="Q34" i="44"/>
  <c r="Q33" i="44"/>
  <c r="Y32" i="44"/>
  <c r="Q32" i="44"/>
  <c r="Y31" i="44"/>
  <c r="Q31" i="44"/>
  <c r="Y29" i="44"/>
  <c r="Y28" i="44"/>
  <c r="Q25" i="44"/>
  <c r="Q23" i="44"/>
  <c r="Y20" i="44"/>
  <c r="Y19" i="44"/>
  <c r="Q19" i="44"/>
  <c r="Q18" i="44"/>
  <c r="Q16" i="44"/>
  <c r="Q14" i="44"/>
  <c r="Q13" i="44"/>
  <c r="Y11" i="44"/>
  <c r="Y10" i="44"/>
  <c r="FH8" i="44"/>
  <c r="FG8" i="44"/>
  <c r="FF8" i="44"/>
  <c r="EZ8" i="44"/>
  <c r="EX8" i="44"/>
  <c r="EW8" i="44"/>
  <c r="EV8" i="44"/>
  <c r="EU8" i="44"/>
  <c r="ET8" i="44"/>
  <c r="ES8" i="44"/>
  <c r="ER8" i="44"/>
  <c r="EQ8" i="44"/>
  <c r="EL8" i="44"/>
  <c r="EK8" i="44"/>
  <c r="EH8" i="44"/>
  <c r="EG8" i="44"/>
  <c r="EF8" i="44"/>
  <c r="EE8" i="44"/>
  <c r="EE66" i="44" s="1"/>
  <c r="ED8" i="44"/>
  <c r="EB8" i="44"/>
  <c r="EB66" i="44" s="1"/>
  <c r="EA8" i="44"/>
  <c r="DZ8" i="44"/>
  <c r="DX8" i="44"/>
  <c r="DW8" i="44"/>
  <c r="DV8" i="44"/>
  <c r="DU8" i="44"/>
  <c r="DT8" i="44"/>
  <c r="DR8" i="44"/>
  <c r="DP8" i="44"/>
  <c r="DP66" i="44" s="1"/>
  <c r="DO8" i="44"/>
  <c r="DN8" i="44"/>
  <c r="DM8" i="44"/>
  <c r="DL8" i="44"/>
  <c r="DK8" i="44"/>
  <c r="DJ8" i="44"/>
  <c r="DI8" i="44"/>
  <c r="DH8" i="44"/>
  <c r="DG8" i="44"/>
  <c r="DF8" i="44"/>
  <c r="DD8" i="44"/>
  <c r="DC8" i="44"/>
  <c r="DB8" i="44"/>
  <c r="CZ8" i="44"/>
  <c r="CY8" i="44"/>
  <c r="CX8" i="44"/>
  <c r="CW8" i="44"/>
  <c r="CQ8" i="44"/>
  <c r="CQ66" i="44" s="1"/>
  <c r="CO8" i="44"/>
  <c r="CN8" i="44"/>
  <c r="CM8" i="44"/>
  <c r="CL8" i="44"/>
  <c r="CK8" i="44"/>
  <c r="CJ8" i="44"/>
  <c r="CI8" i="44"/>
  <c r="CH8" i="44"/>
  <c r="CG8" i="44"/>
  <c r="CF8" i="44"/>
  <c r="CD8" i="44"/>
  <c r="CC8" i="44"/>
  <c r="CB8" i="44"/>
  <c r="CB66" i="44" s="1"/>
  <c r="CA8" i="44"/>
  <c r="BZ8" i="44"/>
  <c r="BY8" i="44"/>
  <c r="BX8" i="44"/>
  <c r="BW8" i="44"/>
  <c r="BU8" i="44"/>
  <c r="BT8" i="44"/>
  <c r="BS8" i="44"/>
  <c r="BQ8" i="44"/>
  <c r="BP8" i="44"/>
  <c r="BN8" i="44"/>
  <c r="BM8" i="44"/>
  <c r="BL8" i="44"/>
  <c r="BK8" i="44"/>
  <c r="BJ8" i="44"/>
  <c r="BI8" i="44"/>
  <c r="BB8" i="44"/>
  <c r="BB66" i="44" s="1"/>
  <c r="BA8" i="44"/>
  <c r="AZ8" i="44"/>
  <c r="AY8" i="44"/>
  <c r="AX8" i="44"/>
  <c r="AW8" i="44"/>
  <c r="AU8" i="44"/>
  <c r="AT8" i="44"/>
  <c r="AR8" i="44"/>
  <c r="AR66" i="44" s="1"/>
  <c r="AQ8" i="44"/>
  <c r="AP8" i="44"/>
  <c r="AN8" i="44"/>
  <c r="AM8" i="44"/>
  <c r="AK8" i="44"/>
  <c r="AJ8" i="44"/>
  <c r="FH7" i="44"/>
  <c r="FG7" i="44"/>
  <c r="FG66" i="44" s="1"/>
  <c r="FF7" i="44"/>
  <c r="EZ7" i="44"/>
  <c r="EZ66" i="44" s="1"/>
  <c r="EX7" i="44"/>
  <c r="EW7" i="44"/>
  <c r="EW66" i="44" s="1"/>
  <c r="EV7" i="44"/>
  <c r="EU7" i="44"/>
  <c r="ET7" i="44"/>
  <c r="ES7" i="44"/>
  <c r="ES66" i="44" s="1"/>
  <c r="ER7" i="44"/>
  <c r="EQ7" i="44"/>
  <c r="EQ66" i="44" s="1"/>
  <c r="EH7" i="44"/>
  <c r="EH66" i="44" s="1"/>
  <c r="EG7" i="44"/>
  <c r="EG66" i="44" s="1"/>
  <c r="EF7" i="44"/>
  <c r="EF66" i="44" s="1"/>
  <c r="ED7" i="44"/>
  <c r="EA7" i="44"/>
  <c r="DZ7" i="44"/>
  <c r="DZ66" i="44" s="1"/>
  <c r="DY7" i="44"/>
  <c r="DY66" i="44" s="1"/>
  <c r="DX7" i="44"/>
  <c r="DX66" i="44" s="1"/>
  <c r="DW7" i="44"/>
  <c r="DV7" i="44"/>
  <c r="DV66" i="44" s="1"/>
  <c r="DU7" i="44"/>
  <c r="DU66" i="44" s="1"/>
  <c r="DT7" i="44"/>
  <c r="DT66" i="44" s="1"/>
  <c r="DO7" i="44"/>
  <c r="DN7" i="44"/>
  <c r="DN66" i="44" s="1"/>
  <c r="DM7" i="44"/>
  <c r="DL7" i="44"/>
  <c r="DL66" i="44" s="1"/>
  <c r="DK7" i="44"/>
  <c r="DJ7" i="44"/>
  <c r="DJ66" i="44" s="1"/>
  <c r="DI7" i="44"/>
  <c r="DH7" i="44"/>
  <c r="DH66" i="44" s="1"/>
  <c r="DG7" i="44"/>
  <c r="DF7" i="44"/>
  <c r="DF66" i="44" s="1"/>
  <c r="DD7" i="44"/>
  <c r="DC7" i="44"/>
  <c r="DB7" i="44"/>
  <c r="CZ7" i="44"/>
  <c r="CZ66" i="44" s="1"/>
  <c r="CY7" i="44"/>
  <c r="CX7" i="44"/>
  <c r="CW7" i="44"/>
  <c r="CO7" i="44"/>
  <c r="CO66" i="44" s="1"/>
  <c r="CN7" i="44"/>
  <c r="CM7" i="44"/>
  <c r="CM66" i="44" s="1"/>
  <c r="CL7" i="44"/>
  <c r="CL66" i="44" s="1"/>
  <c r="CK7" i="44"/>
  <c r="CK66" i="44" s="1"/>
  <c r="CJ7" i="44"/>
  <c r="CI7" i="44"/>
  <c r="CI66" i="44" s="1"/>
  <c r="CH7" i="44"/>
  <c r="CH66" i="44" s="1"/>
  <c r="CG7" i="44"/>
  <c r="CG66" i="44" s="1"/>
  <c r="CF7" i="44"/>
  <c r="CD7" i="44"/>
  <c r="CD66" i="44" s="1"/>
  <c r="CC7" i="44"/>
  <c r="CC66" i="44" s="1"/>
  <c r="CA7" i="44"/>
  <c r="CA66" i="44" s="1"/>
  <c r="BZ7" i="44"/>
  <c r="BY7" i="44"/>
  <c r="BY66" i="44" s="1"/>
  <c r="BX7" i="44"/>
  <c r="BW7" i="44"/>
  <c r="BT7" i="44"/>
  <c r="BS7" i="44"/>
  <c r="BP7" i="44"/>
  <c r="BN66" i="44"/>
  <c r="BM7" i="44"/>
  <c r="BL7" i="44"/>
  <c r="BK7" i="44"/>
  <c r="BJ7" i="44"/>
  <c r="BJ66" i="44" s="1"/>
  <c r="BI7" i="44"/>
  <c r="BA7" i="44"/>
  <c r="BA66" i="44" s="1"/>
  <c r="AZ7" i="44"/>
  <c r="AZ66" i="44" s="1"/>
  <c r="AY7" i="44"/>
  <c r="AY66" i="44" s="1"/>
  <c r="AX7" i="44"/>
  <c r="AX66" i="44" s="1"/>
  <c r="AW7" i="44"/>
  <c r="AW66" i="44" s="1"/>
  <c r="AU7" i="44"/>
  <c r="AU66" i="44" s="1"/>
  <c r="AT7" i="44"/>
  <c r="AT66" i="44" s="1"/>
  <c r="AQ7" i="44"/>
  <c r="AP7" i="44"/>
  <c r="AN7" i="44"/>
  <c r="AM7" i="44"/>
  <c r="AK7" i="44"/>
  <c r="AJ7" i="44"/>
  <c r="AI7" i="44"/>
  <c r="P130" i="59" l="1"/>
  <c r="P195" i="54"/>
  <c r="P66" i="58"/>
  <c r="P64" i="57"/>
  <c r="P64" i="55"/>
  <c r="P325" i="54"/>
  <c r="P260" i="54"/>
  <c r="P129" i="52"/>
  <c r="P64" i="51"/>
  <c r="P128" i="51"/>
  <c r="AB63" i="44"/>
  <c r="AB8" i="44"/>
  <c r="Q9" i="44"/>
  <c r="AB61" i="44"/>
  <c r="AB47" i="44"/>
  <c r="AB54" i="44"/>
  <c r="AB58" i="44"/>
  <c r="AB60" i="44"/>
  <c r="AB42" i="44"/>
  <c r="AB51" i="44"/>
  <c r="AB55" i="44"/>
  <c r="AB7" i="44"/>
  <c r="AB40" i="44"/>
  <c r="AB43" i="44"/>
  <c r="AB45" i="44"/>
  <c r="AB48" i="44"/>
  <c r="AB52" i="44"/>
  <c r="AB56" i="44"/>
  <c r="AB59" i="44"/>
  <c r="AB41" i="44"/>
  <c r="AB49" i="44"/>
  <c r="AB53" i="44"/>
  <c r="AB57" i="44"/>
  <c r="Q27" i="44"/>
  <c r="AB39" i="44"/>
  <c r="AB44" i="44"/>
  <c r="AB50" i="44"/>
  <c r="AB62" i="44"/>
  <c r="AP66" i="44"/>
  <c r="EI54" i="44"/>
  <c r="Z12" i="44"/>
  <c r="Z174" i="44"/>
  <c r="AM66" i="44"/>
  <c r="AJ66" i="44"/>
  <c r="AH62" i="44"/>
  <c r="DS66" i="44"/>
  <c r="BW66" i="44"/>
  <c r="BL66" i="44"/>
  <c r="CX66" i="44"/>
  <c r="DC66" i="44"/>
  <c r="BT66" i="44"/>
  <c r="CF66" i="44"/>
  <c r="CJ66" i="44"/>
  <c r="CN66" i="44"/>
  <c r="BQ66" i="44"/>
  <c r="Q6" i="44"/>
  <c r="Y219" i="44"/>
  <c r="BS66" i="44"/>
  <c r="DW66" i="44"/>
  <c r="EA66" i="44"/>
  <c r="EO52" i="44"/>
  <c r="AH57" i="44"/>
  <c r="AN66" i="44"/>
  <c r="BK66" i="44"/>
  <c r="BP66" i="44"/>
  <c r="BX66" i="44"/>
  <c r="DB66" i="44"/>
  <c r="DG66" i="44"/>
  <c r="DK66" i="44"/>
  <c r="DO66" i="44"/>
  <c r="ER66" i="44"/>
  <c r="EV66" i="44"/>
  <c r="DR66" i="44"/>
  <c r="BU66" i="44"/>
  <c r="AK66" i="44"/>
  <c r="AQ66" i="44"/>
  <c r="BI66" i="44"/>
  <c r="BM66" i="44"/>
  <c r="BZ66" i="44"/>
  <c r="CY66" i="44"/>
  <c r="DD66" i="44"/>
  <c r="DI66" i="44"/>
  <c r="DM66" i="44"/>
  <c r="ED66" i="44"/>
  <c r="ET66" i="44"/>
  <c r="EX66" i="44"/>
  <c r="FH66" i="44"/>
  <c r="AI66" i="44"/>
  <c r="AH7" i="44"/>
  <c r="CW66" i="44"/>
  <c r="EO7" i="44"/>
  <c r="EK66" i="44"/>
  <c r="EU66" i="44"/>
  <c r="FF66" i="44"/>
  <c r="FI67" i="44" s="1"/>
  <c r="EL66" i="44"/>
  <c r="Q24" i="44"/>
  <c r="P130" i="54"/>
  <c r="Q26" i="44"/>
  <c r="P65" i="59"/>
  <c r="EO63" i="44"/>
  <c r="EO64" i="44"/>
  <c r="EO65" i="44"/>
  <c r="AV7" i="44"/>
  <c r="X47" i="44"/>
  <c r="BD39" i="44"/>
  <c r="BD40" i="44"/>
  <c r="EO41" i="44"/>
  <c r="EO42" i="44"/>
  <c r="BD43" i="44"/>
  <c r="BD44" i="44"/>
  <c r="BD45" i="44"/>
  <c r="BD47" i="44"/>
  <c r="BD48" i="44"/>
  <c r="EO49" i="44"/>
  <c r="BD50" i="44"/>
  <c r="EO51" i="44"/>
  <c r="BD52" i="44"/>
  <c r="EO53" i="44"/>
  <c r="BD54" i="44"/>
  <c r="EO55" i="44"/>
  <c r="BD56" i="44"/>
  <c r="AL7" i="44"/>
  <c r="BD7" i="44"/>
  <c r="CP7" i="44"/>
  <c r="DE7" i="44"/>
  <c r="EO8" i="44"/>
  <c r="EO57" i="44"/>
  <c r="BD58" i="44"/>
  <c r="BD59" i="44"/>
  <c r="BD60" i="44"/>
  <c r="BD61" i="44"/>
  <c r="BD62" i="44"/>
  <c r="BD63" i="44"/>
  <c r="Z62" i="44"/>
  <c r="BD64" i="44"/>
  <c r="Z63" i="44"/>
  <c r="BD65" i="44"/>
  <c r="AA63" i="44"/>
  <c r="AO7" i="44"/>
  <c r="DA7" i="44"/>
  <c r="EI7" i="44"/>
  <c r="EY7" i="44"/>
  <c r="FI7" i="44"/>
  <c r="BD8" i="44"/>
  <c r="EO39" i="44"/>
  <c r="EO40" i="44"/>
  <c r="BD41" i="44"/>
  <c r="BD42" i="44"/>
  <c r="EO43" i="44"/>
  <c r="EO44" i="44"/>
  <c r="EO45" i="44"/>
  <c r="EO47" i="44"/>
  <c r="EO48" i="44"/>
  <c r="BD49" i="44"/>
  <c r="EO50" i="44"/>
  <c r="BD51" i="44"/>
  <c r="BD53" i="44"/>
  <c r="EO54" i="44"/>
  <c r="BD55" i="44"/>
  <c r="EO56" i="44"/>
  <c r="BD57" i="44"/>
  <c r="EO58" i="44"/>
  <c r="EO59" i="44"/>
  <c r="EO60" i="44"/>
  <c r="EO61" i="44"/>
  <c r="EO62" i="44"/>
  <c r="Z7" i="44"/>
  <c r="AC7" i="44"/>
  <c r="AC8" i="44"/>
  <c r="AA9" i="44"/>
  <c r="AD9" i="44"/>
  <c r="AA10" i="44"/>
  <c r="AD10" i="44"/>
  <c r="AA11" i="44"/>
  <c r="AD11" i="44"/>
  <c r="AA12" i="44"/>
  <c r="AD12" i="44"/>
  <c r="AA13" i="44"/>
  <c r="AD13" i="44"/>
  <c r="AA14" i="44"/>
  <c r="AD14" i="44"/>
  <c r="AA15" i="44"/>
  <c r="AD15" i="44"/>
  <c r="AA16" i="44"/>
  <c r="AD16" i="44"/>
  <c r="AA17" i="44"/>
  <c r="AD17" i="44"/>
  <c r="AA18" i="44"/>
  <c r="AD18" i="44"/>
  <c r="AC19" i="44"/>
  <c r="AA20" i="44"/>
  <c r="AD20" i="44"/>
  <c r="AC21" i="44"/>
  <c r="AA22" i="44"/>
  <c r="AD22" i="44"/>
  <c r="AA23" i="44"/>
  <c r="AD23" i="44"/>
  <c r="AA24" i="44"/>
  <c r="AD24" i="44"/>
  <c r="AA25" i="44"/>
  <c r="AD25" i="44"/>
  <c r="AA26" i="44"/>
  <c r="AD26" i="44"/>
  <c r="AC27" i="44"/>
  <c r="AC28" i="44"/>
  <c r="AC29" i="44"/>
  <c r="AC30" i="44"/>
  <c r="AA31" i="44"/>
  <c r="AD31" i="44"/>
  <c r="AC32" i="44"/>
  <c r="AC33" i="44"/>
  <c r="AC34" i="44"/>
  <c r="AC35" i="44"/>
  <c r="AA36" i="44"/>
  <c r="AD36" i="44"/>
  <c r="AC37" i="44"/>
  <c r="AC38" i="44"/>
  <c r="AA39" i="44"/>
  <c r="AD39" i="44"/>
  <c r="AA40" i="44"/>
  <c r="AD40" i="44"/>
  <c r="AC41" i="44"/>
  <c r="AC42" i="44"/>
  <c r="AC43" i="44"/>
  <c r="AC45" i="44"/>
  <c r="AC46" i="44"/>
  <c r="AA47" i="44"/>
  <c r="AD47" i="44"/>
  <c r="AC48" i="44"/>
  <c r="AA49" i="44"/>
  <c r="AD49" i="44"/>
  <c r="AC50" i="44"/>
  <c r="AA51" i="44"/>
  <c r="AD51" i="44"/>
  <c r="AC52" i="44"/>
  <c r="AA53" i="44"/>
  <c r="AD53" i="44"/>
  <c r="AC54" i="44"/>
  <c r="AA55" i="44"/>
  <c r="AD55" i="44"/>
  <c r="AC56" i="44"/>
  <c r="AC57" i="44"/>
  <c r="AC58" i="44"/>
  <c r="AC59" i="44"/>
  <c r="AC60" i="44"/>
  <c r="AC61" i="44"/>
  <c r="AC62" i="44"/>
  <c r="AC63" i="44"/>
  <c r="AD63" i="44"/>
  <c r="AD7" i="44"/>
  <c r="AH8" i="44"/>
  <c r="Z8" i="44"/>
  <c r="AA8" i="44"/>
  <c r="AD8" i="44"/>
  <c r="AC9" i="44"/>
  <c r="AC10" i="44"/>
  <c r="AC11" i="44"/>
  <c r="AC12" i="44"/>
  <c r="AC13" i="44"/>
  <c r="AC14" i="44"/>
  <c r="AC15" i="44"/>
  <c r="AC16" i="44"/>
  <c r="AC18" i="44"/>
  <c r="AH21" i="44"/>
  <c r="Z19" i="44"/>
  <c r="AA19" i="44"/>
  <c r="AD19" i="44"/>
  <c r="AC20" i="44"/>
  <c r="AH23" i="44"/>
  <c r="Z21" i="44"/>
  <c r="AA21" i="44"/>
  <c r="AD21" i="44"/>
  <c r="AC22" i="44"/>
  <c r="AC23" i="44"/>
  <c r="AC24" i="44"/>
  <c r="AC25" i="44"/>
  <c r="AC26" i="44"/>
  <c r="AH29" i="44"/>
  <c r="Z27" i="44"/>
  <c r="AA27" i="44"/>
  <c r="AD27" i="44"/>
  <c r="AH30" i="44"/>
  <c r="Z28" i="44"/>
  <c r="AA28" i="44"/>
  <c r="AD28" i="44"/>
  <c r="AH31" i="44"/>
  <c r="Z29" i="44"/>
  <c r="AA29" i="44"/>
  <c r="AD29" i="44"/>
  <c r="AH32" i="44"/>
  <c r="Z30" i="44"/>
  <c r="AA30" i="44"/>
  <c r="AD30" i="44"/>
  <c r="AC31" i="44"/>
  <c r="AH34" i="44"/>
  <c r="Z32" i="44"/>
  <c r="AA32" i="44"/>
  <c r="AD32" i="44"/>
  <c r="AH35" i="44"/>
  <c r="Z33" i="44"/>
  <c r="AA33" i="44"/>
  <c r="AD33" i="44"/>
  <c r="AH36" i="44"/>
  <c r="Z34" i="44"/>
  <c r="AA34" i="44"/>
  <c r="AD34" i="44"/>
  <c r="AH37" i="44"/>
  <c r="Z35" i="44"/>
  <c r="AA35" i="44"/>
  <c r="AD35" i="44"/>
  <c r="AC36" i="44"/>
  <c r="AH39" i="44"/>
  <c r="Z37" i="44"/>
  <c r="AA37" i="44"/>
  <c r="AD37" i="44"/>
  <c r="AH40" i="44"/>
  <c r="Z38" i="44"/>
  <c r="AA38" i="44"/>
  <c r="AD38" i="44"/>
  <c r="AC39" i="44"/>
  <c r="AC40" i="44"/>
  <c r="AH43" i="44"/>
  <c r="Z41" i="44"/>
  <c r="AA41" i="44"/>
  <c r="AD41" i="44"/>
  <c r="AH44" i="44"/>
  <c r="Z42" i="44"/>
  <c r="AA42" i="44"/>
  <c r="AD42" i="44"/>
  <c r="AH45" i="44"/>
  <c r="Z43" i="44"/>
  <c r="AA43" i="44"/>
  <c r="AD43" i="44"/>
  <c r="AH47" i="44"/>
  <c r="Z45" i="44"/>
  <c r="AA45" i="44"/>
  <c r="AD45" i="44"/>
  <c r="AH48" i="44"/>
  <c r="Z46" i="44"/>
  <c r="AA46" i="44"/>
  <c r="AD46" i="44"/>
  <c r="AC47" i="44"/>
  <c r="AH50" i="44"/>
  <c r="Z48" i="44"/>
  <c r="AA48" i="44"/>
  <c r="AD48" i="44"/>
  <c r="AC49" i="44"/>
  <c r="AH52" i="44"/>
  <c r="Z50" i="44"/>
  <c r="AA50" i="44"/>
  <c r="AD50" i="44"/>
  <c r="AC51" i="44"/>
  <c r="AH54" i="44"/>
  <c r="Z52" i="44"/>
  <c r="AA52" i="44"/>
  <c r="AD52" i="44"/>
  <c r="AC53" i="44"/>
  <c r="AH56" i="44"/>
  <c r="Z54" i="44"/>
  <c r="AA54" i="44"/>
  <c r="AD54" i="44"/>
  <c r="AC55" i="44"/>
  <c r="AH58" i="44"/>
  <c r="Z56" i="44"/>
  <c r="AA56" i="44"/>
  <c r="AD56" i="44"/>
  <c r="AH59" i="44"/>
  <c r="Z57" i="44"/>
  <c r="AA57" i="44"/>
  <c r="AD57" i="44"/>
  <c r="AH60" i="44"/>
  <c r="Z58" i="44"/>
  <c r="AA58" i="44"/>
  <c r="AD58" i="44"/>
  <c r="AH61" i="44"/>
  <c r="Z59" i="44"/>
  <c r="AA59" i="44"/>
  <c r="AD59" i="44"/>
  <c r="Z60" i="44"/>
  <c r="AA60" i="44"/>
  <c r="AD60" i="44"/>
  <c r="AH63" i="44"/>
  <c r="Z61" i="44"/>
  <c r="AA61" i="44"/>
  <c r="AD61" i="44"/>
  <c r="AH64" i="44"/>
  <c r="AA62" i="44"/>
  <c r="AD62" i="44"/>
  <c r="AH65" i="44"/>
  <c r="AH10" i="44"/>
  <c r="Z9" i="44"/>
  <c r="AH11" i="44"/>
  <c r="Z10" i="44"/>
  <c r="AH12" i="44"/>
  <c r="Z11" i="44"/>
  <c r="AH14" i="44"/>
  <c r="AH15" i="44"/>
  <c r="Z13" i="44"/>
  <c r="AH16" i="44"/>
  <c r="Z14" i="44"/>
  <c r="AH17" i="44"/>
  <c r="Z15" i="44"/>
  <c r="AH18" i="44"/>
  <c r="Z16" i="44"/>
  <c r="AH19" i="44"/>
  <c r="Z17" i="44"/>
  <c r="AH20" i="44"/>
  <c r="Z18" i="44"/>
  <c r="AH22" i="44"/>
  <c r="Z20" i="44"/>
  <c r="AH24" i="44"/>
  <c r="Z22" i="44"/>
  <c r="Z23" i="44"/>
  <c r="AH26" i="44"/>
  <c r="Z24" i="44"/>
  <c r="AH27" i="44"/>
  <c r="Z25" i="44"/>
  <c r="AH28" i="44"/>
  <c r="Z26" i="44"/>
  <c r="AH33" i="44"/>
  <c r="Z31" i="44"/>
  <c r="AH38" i="44"/>
  <c r="Z36" i="44"/>
  <c r="AH41" i="44"/>
  <c r="Z39" i="44"/>
  <c r="AH42" i="44"/>
  <c r="Z40" i="44"/>
  <c r="AH49" i="44"/>
  <c r="Z47" i="44"/>
  <c r="AH51" i="44"/>
  <c r="Z49" i="44"/>
  <c r="AH53" i="44"/>
  <c r="Z51" i="44"/>
  <c r="AH55" i="44"/>
  <c r="Z53" i="44"/>
  <c r="Z55" i="44"/>
  <c r="AO39" i="44"/>
  <c r="CP39" i="44"/>
  <c r="DE39" i="44"/>
  <c r="EI39" i="44"/>
  <c r="EY39" i="44"/>
  <c r="FI39" i="44"/>
  <c r="AO40" i="44"/>
  <c r="CP40" i="44"/>
  <c r="DE40" i="44"/>
  <c r="EI40" i="44"/>
  <c r="EY40" i="44"/>
  <c r="FI40" i="44"/>
  <c r="DE41" i="44"/>
  <c r="DE42" i="44"/>
  <c r="AO52" i="44"/>
  <c r="AV52" i="44"/>
  <c r="CP52" i="44"/>
  <c r="DA52" i="44"/>
  <c r="EI52" i="44"/>
  <c r="EY52" i="44"/>
  <c r="FI52" i="44"/>
  <c r="EY60" i="44"/>
  <c r="FI60" i="44"/>
  <c r="AO64" i="44"/>
  <c r="AV64" i="44"/>
  <c r="CP64" i="44"/>
  <c r="DA64" i="44"/>
  <c r="EI64" i="44"/>
  <c r="EY64" i="44"/>
  <c r="FI64" i="44"/>
  <c r="DE43" i="44"/>
  <c r="DE44" i="44"/>
  <c r="AO45" i="44"/>
  <c r="AV45" i="44"/>
  <c r="CE45" i="44"/>
  <c r="CP45" i="44"/>
  <c r="DA45" i="44"/>
  <c r="AO51" i="44"/>
  <c r="CP51" i="44"/>
  <c r="DE51" i="44"/>
  <c r="EI51" i="44"/>
  <c r="EY51" i="44"/>
  <c r="FI51" i="44"/>
  <c r="CE63" i="44"/>
  <c r="DE63" i="44"/>
  <c r="CP65" i="44"/>
  <c r="DA65" i="44"/>
  <c r="EI65" i="44"/>
  <c r="EY65" i="44"/>
  <c r="FI65" i="44"/>
  <c r="Z218" i="44"/>
  <c r="AL39" i="44"/>
  <c r="AV39" i="44"/>
  <c r="CE39" i="44"/>
  <c r="DA39" i="44"/>
  <c r="AL40" i="44"/>
  <c r="AV40" i="44"/>
  <c r="CE40" i="44"/>
  <c r="DA40" i="44"/>
  <c r="AO41" i="44"/>
  <c r="AV41" i="44"/>
  <c r="CE41" i="44"/>
  <c r="CP41" i="44"/>
  <c r="DA41" i="44"/>
  <c r="EI41" i="44"/>
  <c r="EY41" i="44"/>
  <c r="FI41" i="44"/>
  <c r="AO42" i="44"/>
  <c r="AV42" i="44"/>
  <c r="CE42" i="44"/>
  <c r="CP42" i="44"/>
  <c r="DA42" i="44"/>
  <c r="EI42" i="44"/>
  <c r="EY42" i="44"/>
  <c r="FI42" i="44"/>
  <c r="AO43" i="44"/>
  <c r="AV43" i="44"/>
  <c r="CE43" i="44"/>
  <c r="CP43" i="44"/>
  <c r="DA43" i="44"/>
  <c r="EI43" i="44"/>
  <c r="EY43" i="44"/>
  <c r="FI43" i="44"/>
  <c r="AO44" i="44"/>
  <c r="AV44" i="44"/>
  <c r="CE44" i="44"/>
  <c r="CP44" i="44"/>
  <c r="DA44" i="44"/>
  <c r="EI44" i="44"/>
  <c r="EY44" i="44"/>
  <c r="FI44" i="44"/>
  <c r="DE45" i="44"/>
  <c r="AO47" i="44"/>
  <c r="AV47" i="44"/>
  <c r="CE47" i="44"/>
  <c r="CP47" i="44"/>
  <c r="AO53" i="44"/>
  <c r="CP53" i="44"/>
  <c r="DE53" i="44"/>
  <c r="EI53" i="44"/>
  <c r="EY53" i="44"/>
  <c r="FI53" i="44"/>
  <c r="AO54" i="44"/>
  <c r="AV54" i="44"/>
  <c r="CP54" i="44"/>
  <c r="DA54" i="44"/>
  <c r="EY54" i="44"/>
  <c r="FI54" i="44"/>
  <c r="Z199" i="44"/>
  <c r="DA47" i="44"/>
  <c r="EI45" i="44"/>
  <c r="EY45" i="44"/>
  <c r="FI45" i="44"/>
  <c r="DE47" i="44"/>
  <c r="AO48" i="44"/>
  <c r="AV48" i="44"/>
  <c r="CP48" i="44"/>
  <c r="DE48" i="44"/>
  <c r="EI48" i="44"/>
  <c r="EY48" i="44"/>
  <c r="FI48" i="44"/>
  <c r="AO49" i="44"/>
  <c r="AV49" i="44"/>
  <c r="CP49" i="44"/>
  <c r="DA49" i="44"/>
  <c r="EI49" i="44"/>
  <c r="EY49" i="44"/>
  <c r="FI49" i="44"/>
  <c r="AO50" i="44"/>
  <c r="AV50" i="44"/>
  <c r="CP50" i="44"/>
  <c r="DA50" i="44"/>
  <c r="EI50" i="44"/>
  <c r="EY50" i="44"/>
  <c r="FI50" i="44"/>
  <c r="CE61" i="44"/>
  <c r="DE61" i="44"/>
  <c r="AO62" i="44"/>
  <c r="AV62" i="44"/>
  <c r="CP62" i="44"/>
  <c r="DA62" i="44"/>
  <c r="EI62" i="44"/>
  <c r="EY62" i="44"/>
  <c r="FI62" i="44"/>
  <c r="CE65" i="44"/>
  <c r="AL41" i="44"/>
  <c r="AL42" i="44"/>
  <c r="AL43" i="44"/>
  <c r="AL44" i="44"/>
  <c r="AL45" i="44"/>
  <c r="AL47" i="44"/>
  <c r="EI47" i="44"/>
  <c r="EY47" i="44"/>
  <c r="FI47" i="44"/>
  <c r="DE8" i="44"/>
  <c r="AO55" i="44"/>
  <c r="CP55" i="44"/>
  <c r="DE55" i="44"/>
  <c r="EI55" i="44"/>
  <c r="EY55" i="44"/>
  <c r="FI55" i="44"/>
  <c r="AO56" i="44"/>
  <c r="AV56" i="44"/>
  <c r="CP56" i="44"/>
  <c r="DA56" i="44"/>
  <c r="EI56" i="44"/>
  <c r="EY56" i="44"/>
  <c r="FI56" i="44"/>
  <c r="AL57" i="44"/>
  <c r="AV57" i="44"/>
  <c r="CE57" i="44"/>
  <c r="DA57" i="44"/>
  <c r="DE58" i="44"/>
  <c r="AO59" i="44"/>
  <c r="AV59" i="44"/>
  <c r="CE59" i="44"/>
  <c r="CP59" i="44"/>
  <c r="DA59" i="44"/>
  <c r="EI59" i="44"/>
  <c r="EY59" i="44"/>
  <c r="FI59" i="44"/>
  <c r="DE60" i="44"/>
  <c r="AO61" i="44"/>
  <c r="AV61" i="44"/>
  <c r="CP61" i="44"/>
  <c r="DA61" i="44"/>
  <c r="EI61" i="44"/>
  <c r="EY61" i="44"/>
  <c r="FI61" i="44"/>
  <c r="CE62" i="44"/>
  <c r="DE62" i="44"/>
  <c r="AO63" i="44"/>
  <c r="AV63" i="44"/>
  <c r="CP63" i="44"/>
  <c r="DA63" i="44"/>
  <c r="EI63" i="44"/>
  <c r="EY63" i="44"/>
  <c r="FI63" i="44"/>
  <c r="CE64" i="44"/>
  <c r="DE64" i="44"/>
  <c r="AO65" i="44"/>
  <c r="AV65" i="44"/>
  <c r="DE65" i="44"/>
  <c r="AL8" i="44"/>
  <c r="AO8" i="44"/>
  <c r="AV8" i="44"/>
  <c r="CE8" i="44"/>
  <c r="CP8" i="44"/>
  <c r="DA8" i="44"/>
  <c r="EI8" i="44"/>
  <c r="EY8" i="44"/>
  <c r="FI8" i="44"/>
  <c r="AL48" i="44"/>
  <c r="CE48" i="44"/>
  <c r="DA48" i="44"/>
  <c r="CE49" i="44"/>
  <c r="DE49" i="44"/>
  <c r="CE50" i="44"/>
  <c r="DE50" i="44"/>
  <c r="AL51" i="44"/>
  <c r="AV51" i="44"/>
  <c r="CE51" i="44"/>
  <c r="DA51" i="44"/>
  <c r="CE52" i="44"/>
  <c r="DE52" i="44"/>
  <c r="AL53" i="44"/>
  <c r="AV53" i="44"/>
  <c r="CE53" i="44"/>
  <c r="DA53" i="44"/>
  <c r="CE54" i="44"/>
  <c r="DE54" i="44"/>
  <c r="AL55" i="44"/>
  <c r="AV55" i="44"/>
  <c r="CE55" i="44"/>
  <c r="DA55" i="44"/>
  <c r="CE56" i="44"/>
  <c r="DE56" i="44"/>
  <c r="AO57" i="44"/>
  <c r="CP57" i="44"/>
  <c r="DE57" i="44"/>
  <c r="EI57" i="44"/>
  <c r="EY57" i="44"/>
  <c r="FI57" i="44"/>
  <c r="AO58" i="44"/>
  <c r="AV58" i="44"/>
  <c r="CE58" i="44"/>
  <c r="CP58" i="44"/>
  <c r="DA58" i="44"/>
  <c r="EI58" i="44"/>
  <c r="EY58" i="44"/>
  <c r="FI58" i="44"/>
  <c r="DE59" i="44"/>
  <c r="AO60" i="44"/>
  <c r="AV60" i="44"/>
  <c r="CE60" i="44"/>
  <c r="CP60" i="44"/>
  <c r="DA60" i="44"/>
  <c r="EI60" i="44"/>
  <c r="AL49" i="44"/>
  <c r="AL50" i="44"/>
  <c r="AL52" i="44"/>
  <c r="AL54" i="44"/>
  <c r="AL56" i="44"/>
  <c r="AL58" i="44"/>
  <c r="AL59" i="44"/>
  <c r="AL60" i="44"/>
  <c r="AL61" i="44"/>
  <c r="AL62" i="44"/>
  <c r="AL63" i="44"/>
  <c r="AL64" i="44"/>
  <c r="AL65" i="44"/>
  <c r="EO67" i="44" l="1"/>
  <c r="FA67" i="44"/>
  <c r="CR67" i="44"/>
  <c r="AI67" i="44" s="1"/>
  <c r="AF66" i="44"/>
  <c r="BD67" i="44"/>
  <c r="EI67" i="44"/>
  <c r="AH66" i="44"/>
  <c r="R41" i="44"/>
  <c r="AB64" i="44"/>
  <c r="AC64" i="44"/>
  <c r="AD64" i="44"/>
  <c r="Z64" i="44"/>
  <c r="AA7" i="44" l="1"/>
  <c r="CE7" i="44"/>
  <c r="AA64" i="44" l="1"/>
  <c r="Z66" i="44" l="1"/>
  <c r="Q43" i="44" s="1"/>
</calcChain>
</file>

<file path=xl/sharedStrings.xml><?xml version="1.0" encoding="utf-8"?>
<sst xmlns="http://schemas.openxmlformats.org/spreadsheetml/2006/main" count="2679" uniqueCount="781">
  <si>
    <t>ALLENTOWN</t>
  </si>
  <si>
    <t>LIRS</t>
  </si>
  <si>
    <t>CARLISLE</t>
  </si>
  <si>
    <t>USCCB</t>
  </si>
  <si>
    <t>ERIE</t>
  </si>
  <si>
    <t>USCRI</t>
  </si>
  <si>
    <t>HARRISBURG</t>
  </si>
  <si>
    <t>KINGSTON</t>
  </si>
  <si>
    <t>LANCASTER</t>
  </si>
  <si>
    <t>MECHANICSBURG</t>
  </si>
  <si>
    <t>PHILADELPHIA</t>
  </si>
  <si>
    <t>HIAS</t>
  </si>
  <si>
    <t>PITTSBURGH</t>
  </si>
  <si>
    <t>ECDC</t>
  </si>
  <si>
    <t>ROSLYN</t>
  </si>
  <si>
    <t>SCRANTON</t>
  </si>
  <si>
    <t>WARMINSTER</t>
  </si>
  <si>
    <t>REGION 1</t>
  </si>
  <si>
    <t>ALLEGHENY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</si>
  <si>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</si>
  <si>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</si>
  <si>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</si>
  <si>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</si>
  <si>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</si>
  <si>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</si>
  <si>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</si>
  <si>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</si>
  <si>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</si>
  <si>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</si>
  <si>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</si>
  <si>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</si>
  <si>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INDIANA</t>
  </si>
  <si>
    <t>REGION 2</t>
  </si>
  <si>
    <t>ADAMS</t>
  </si>
  <si>
    <t>DAUPHIN</t>
  </si>
  <si>
    <t>CENTRE</t>
  </si>
  <si>
    <t>CUMBERLAND</t>
  </si>
  <si>
    <t>FRANKLIN</t>
  </si>
  <si>
    <t>LEBANON</t>
  </si>
  <si>
    <t>YORK</t>
  </si>
  <si>
    <t>TOTAL</t>
  </si>
  <si>
    <t>REGION 3</t>
  </si>
  <si>
    <t>BERKS</t>
  </si>
  <si>
    <t>BUCKS</t>
  </si>
  <si>
    <t>CHESTER</t>
  </si>
  <si>
    <t>DELAWARE</t>
  </si>
  <si>
    <t>MONTGOMERY</t>
  </si>
  <si>
    <t>REGION 4</t>
  </si>
  <si>
    <t>LACKAWANNA</t>
  </si>
  <si>
    <t>LEHIGH</t>
  </si>
  <si>
    <t>LYCOMING</t>
  </si>
  <si>
    <t>LUZERNE</t>
  </si>
  <si>
    <t>REGION 5</t>
  </si>
  <si>
    <t>GRAND TOTAL</t>
  </si>
  <si>
    <t>REGION 5 - ERIE</t>
  </si>
  <si>
    <t>REGION 1 - PITTSBURGH</t>
  </si>
  <si>
    <t>REGION 2 - HARRISBURG - LANCASTER</t>
  </si>
  <si>
    <t>REGION 3 - PHILADELPHIA</t>
  </si>
  <si>
    <t>REGION 4 - ALLENTOWN - SCRANTON</t>
  </si>
  <si>
    <t>CWS</t>
  </si>
  <si>
    <t>JULY</t>
  </si>
  <si>
    <t>LEETSDALE</t>
  </si>
  <si>
    <t>SEWICKLEY</t>
  </si>
  <si>
    <t>CLAIRTON</t>
  </si>
  <si>
    <t>CAMP HILL</t>
  </si>
  <si>
    <t>CHAMBERSBURG</t>
  </si>
  <si>
    <t>ELIZABETHTOWN</t>
  </si>
  <si>
    <t>GETTYSBURG</t>
  </si>
  <si>
    <t>HUMMELSTOWN</t>
  </si>
  <si>
    <t>MIDDLETOWN</t>
  </si>
  <si>
    <t>PALMYRA</t>
  </si>
  <si>
    <t>STATE COLLEGE</t>
  </si>
  <si>
    <t>LITITZ</t>
  </si>
  <si>
    <t>MOUNT JOY</t>
  </si>
  <si>
    <t>EPHRATA</t>
  </si>
  <si>
    <t>BIRDSBORO</t>
  </si>
  <si>
    <t>CONSHOHOCKEN</t>
  </si>
  <si>
    <t>WEST CHESTER</t>
  </si>
  <si>
    <t>AVONDALE</t>
  </si>
  <si>
    <t>BENSALEM</t>
  </si>
  <si>
    <t>CLIFTON HEIGHTS</t>
  </si>
  <si>
    <t>COLLINGDALE</t>
  </si>
  <si>
    <t>DARBY</t>
  </si>
  <si>
    <t>LEVITTOWN</t>
  </si>
  <si>
    <t>TREVOSE</t>
  </si>
  <si>
    <t>WILLOW GROVE</t>
  </si>
  <si>
    <t>TAYLOR</t>
  </si>
  <si>
    <t>WILLIAMSPORT</t>
  </si>
  <si>
    <t>ALL REGIONS</t>
  </si>
  <si>
    <t>REGION 2 - CENTRAL REGIONS</t>
  </si>
  <si>
    <t>REGION 4 - NORTHEASTERN</t>
  </si>
  <si>
    <t>GIRARD</t>
  </si>
  <si>
    <t>HANOVER TOWNSHIP</t>
  </si>
  <si>
    <t>BEAVER</t>
  </si>
  <si>
    <t>WINFIELD</t>
  </si>
  <si>
    <t>LANGHORNE</t>
  </si>
  <si>
    <t>UNION</t>
  </si>
  <si>
    <t>DOWNINGTOWN</t>
  </si>
  <si>
    <t>WILKES BARRE</t>
  </si>
  <si>
    <t>EAST MILLSBORO</t>
  </si>
  <si>
    <t>WASHINGTON</t>
  </si>
  <si>
    <t>BOOTHWYN</t>
  </si>
  <si>
    <t>NORWOOD</t>
  </si>
  <si>
    <t>UPPER CHICHESTER</t>
  </si>
  <si>
    <t>NEW CUMBERLAND</t>
  </si>
  <si>
    <t>FEASTERVILLE</t>
  </si>
  <si>
    <t>SHARPSBURG</t>
  </si>
  <si>
    <t>SHIREMANSTOWN</t>
  </si>
  <si>
    <t>ELKINS PARK</t>
  </si>
  <si>
    <t>CASTLE SHANNON</t>
  </si>
  <si>
    <t>EASTON</t>
  </si>
  <si>
    <t>ENOLA</t>
  </si>
  <si>
    <t>NORTHAMPTON</t>
  </si>
  <si>
    <t>BROOMALL</t>
  </si>
  <si>
    <t>CANONSBURG</t>
  </si>
  <si>
    <t>GREENCASTLE</t>
  </si>
  <si>
    <t>COLLEGEVILLE</t>
  </si>
  <si>
    <t>BELLEVUE</t>
  </si>
  <si>
    <t>SWARTHMORE</t>
  </si>
  <si>
    <t>BOALSBURG</t>
  </si>
  <si>
    <t>ETNA</t>
  </si>
  <si>
    <t>MEDIA</t>
  </si>
  <si>
    <t>BRENTWOOD</t>
  </si>
  <si>
    <t>NORRISTOWN</t>
  </si>
  <si>
    <t>REGION TOTALS OCTOBER 2016 - SEPTEMBER 2017</t>
  </si>
  <si>
    <t>REFUGEE ARRIVALS IN PA BY COUNTY OCTOBER 2016 - SEPTEMBER 2017</t>
  </si>
  <si>
    <t>PENNSYLVANIA TOTALS BY COUNTRY 2016-2017</t>
  </si>
  <si>
    <t>VOLAG CITY ARRIVALS OCTOBER 2016-SEPTEMBER 2017</t>
  </si>
  <si>
    <t>LEOLA</t>
  </si>
  <si>
    <t>Destination City</t>
  </si>
  <si>
    <t>RA</t>
  </si>
  <si>
    <t>Nat</t>
  </si>
  <si>
    <t>Arrival Date</t>
  </si>
  <si>
    <t>PA</t>
  </si>
  <si>
    <t>SY</t>
  </si>
  <si>
    <t>WI</t>
  </si>
  <si>
    <t>SO</t>
  </si>
  <si>
    <t>Pittsburgh</t>
  </si>
  <si>
    <t>Country</t>
  </si>
  <si>
    <t>DA</t>
  </si>
  <si>
    <t>AFGHANISTAN</t>
  </si>
  <si>
    <t>AF</t>
  </si>
  <si>
    <t>ARMENIA</t>
  </si>
  <si>
    <t>AM</t>
  </si>
  <si>
    <t>BELARUS</t>
  </si>
  <si>
    <t>BO</t>
  </si>
  <si>
    <t>BURMA</t>
  </si>
  <si>
    <t>BM</t>
  </si>
  <si>
    <t>Harrisburg</t>
  </si>
  <si>
    <t>BHUTAN</t>
  </si>
  <si>
    <t>BT</t>
  </si>
  <si>
    <t>BURUNDI</t>
  </si>
  <si>
    <t>BY</t>
  </si>
  <si>
    <t>CENTRAL AFR REP</t>
  </si>
  <si>
    <t>CT</t>
  </si>
  <si>
    <t>CHINA</t>
  </si>
  <si>
    <t>CH</t>
  </si>
  <si>
    <t>Lancaster</t>
  </si>
  <si>
    <t>DEM REP OF CONGO</t>
  </si>
  <si>
    <t>CG</t>
  </si>
  <si>
    <t>COLUMBIA</t>
  </si>
  <si>
    <t>CO</t>
  </si>
  <si>
    <t>CONGO</t>
  </si>
  <si>
    <t>CF</t>
  </si>
  <si>
    <t>CUBA</t>
  </si>
  <si>
    <t>CU</t>
  </si>
  <si>
    <t>ET</t>
  </si>
  <si>
    <t>CUBAN ENTRANT</t>
  </si>
  <si>
    <t>CUE</t>
  </si>
  <si>
    <t>ECUADOR</t>
  </si>
  <si>
    <t>EC</t>
  </si>
  <si>
    <t>EGYPT</t>
  </si>
  <si>
    <t>EG</t>
  </si>
  <si>
    <t>Philadelphia</t>
  </si>
  <si>
    <t>ERITREA</t>
  </si>
  <si>
    <t>ER</t>
  </si>
  <si>
    <t>ETHIOPIA</t>
  </si>
  <si>
    <t>FRANCE</t>
  </si>
  <si>
    <t>FR</t>
  </si>
  <si>
    <t>HAITI</t>
  </si>
  <si>
    <t>HA</t>
  </si>
  <si>
    <t>INDIA</t>
  </si>
  <si>
    <t>IN</t>
  </si>
  <si>
    <t>INDONESIA</t>
  </si>
  <si>
    <t>ID</t>
  </si>
  <si>
    <t>IRAN</t>
  </si>
  <si>
    <t>IR</t>
  </si>
  <si>
    <t>IRAQ</t>
  </si>
  <si>
    <t>IZ</t>
  </si>
  <si>
    <t>Allentown</t>
  </si>
  <si>
    <t>IVORY COAST</t>
  </si>
  <si>
    <t>IV</t>
  </si>
  <si>
    <t>JORDAN</t>
  </si>
  <si>
    <t>JO</t>
  </si>
  <si>
    <t>KAZAKHSTAN</t>
  </si>
  <si>
    <t>KZ</t>
  </si>
  <si>
    <t>Scranton</t>
  </si>
  <si>
    <t>KENYA</t>
  </si>
  <si>
    <t>KE</t>
  </si>
  <si>
    <t>LE</t>
  </si>
  <si>
    <t>LIBERIA</t>
  </si>
  <si>
    <t>LI</t>
  </si>
  <si>
    <t>MOLDOVA</t>
  </si>
  <si>
    <t>MD</t>
  </si>
  <si>
    <t>Erie</t>
  </si>
  <si>
    <t>MALI</t>
  </si>
  <si>
    <t>ML</t>
  </si>
  <si>
    <t>MALAYSIA</t>
  </si>
  <si>
    <t>MY</t>
  </si>
  <si>
    <t>NAMIBIA</t>
  </si>
  <si>
    <t>WA</t>
  </si>
  <si>
    <t>NEPAL</t>
  </si>
  <si>
    <t>NP</t>
  </si>
  <si>
    <t>PAKISTAN</t>
  </si>
  <si>
    <t>PK</t>
  </si>
  <si>
    <t>PITCAIRN ISLANDS</t>
  </si>
  <si>
    <t>PN</t>
  </si>
  <si>
    <t>RWANDA</t>
  </si>
  <si>
    <t>RW</t>
  </si>
  <si>
    <t>RUSSIA</t>
  </si>
  <si>
    <t>RS</t>
  </si>
  <si>
    <t>SIERRA LEON</t>
  </si>
  <si>
    <t>SL</t>
  </si>
  <si>
    <t>HU</t>
  </si>
  <si>
    <t>SOMALIA</t>
  </si>
  <si>
    <t>SOUTH SUDAN</t>
  </si>
  <si>
    <t>SS</t>
  </si>
  <si>
    <t>SRI LANKA</t>
  </si>
  <si>
    <t>CE</t>
  </si>
  <si>
    <t>SUDAN</t>
  </si>
  <si>
    <t>SU</t>
  </si>
  <si>
    <t>SYRIA</t>
  </si>
  <si>
    <t>TAJIKISTAN</t>
  </si>
  <si>
    <t>TI</t>
  </si>
  <si>
    <t>TANZANIA</t>
  </si>
  <si>
    <t>TZ</t>
  </si>
  <si>
    <t>THAILAND</t>
  </si>
  <si>
    <t>TH</t>
  </si>
  <si>
    <t>UGANDA</t>
  </si>
  <si>
    <t>UG</t>
  </si>
  <si>
    <t>UKRAINE</t>
  </si>
  <si>
    <t>UP</t>
  </si>
  <si>
    <t>UZBEKISTAN</t>
  </si>
  <si>
    <t>UZ</t>
  </si>
  <si>
    <t>VIETNAM</t>
  </si>
  <si>
    <t>VM</t>
  </si>
  <si>
    <t>ZAMBIA</t>
  </si>
  <si>
    <t>ZA</t>
  </si>
  <si>
    <t>TOTALS</t>
  </si>
  <si>
    <t xml:space="preserve">CWS </t>
  </si>
  <si>
    <t>Region 1 Totals (Regions Tab)</t>
  </si>
  <si>
    <t>Region 2 Totals (Regions Tab)</t>
  </si>
  <si>
    <t>Region 3 Totals (Regions Tab)</t>
  </si>
  <si>
    <t>Region 4 Totals (Regions Tab)</t>
  </si>
  <si>
    <t>Region 5 Totals (Regions Tab)</t>
  </si>
  <si>
    <t>CANONSBURG; HANOVER TOWNSHIP</t>
  </si>
  <si>
    <t>CHAMBERSBURG; GREENCASTLE</t>
  </si>
  <si>
    <t>HARRISBURG; HUMMELSTOWN; MIDDLETOWN</t>
  </si>
  <si>
    <t>LEBANON; PALMYRA</t>
  </si>
  <si>
    <t>BOALSBURG; STATE COLLEGE</t>
  </si>
  <si>
    <t>ELIZABETHTOWN; LANCASTER; LEOLA; LITITZ; MOUNT JOY; EPHRATA</t>
  </si>
  <si>
    <t>WEST CHESTER; AVONDALE; DOWNINGTOWN; CHESTER</t>
  </si>
  <si>
    <t>EASTON; NORTHAMPTON</t>
  </si>
  <si>
    <t>SCRANTON; TAYLOR</t>
  </si>
  <si>
    <t>KINGSTON; WILKES BARRE</t>
  </si>
  <si>
    <t>Erie; GIRARD</t>
  </si>
  <si>
    <t>Total</t>
  </si>
  <si>
    <t>SOUTHAMPTON</t>
  </si>
  <si>
    <t>R1</t>
  </si>
  <si>
    <t>R2</t>
  </si>
  <si>
    <t>R3</t>
  </si>
  <si>
    <t>R4</t>
  </si>
  <si>
    <t>R5</t>
  </si>
  <si>
    <t>Totals</t>
  </si>
  <si>
    <t>Region Total</t>
  </si>
  <si>
    <t>LY</t>
  </si>
  <si>
    <t>ES</t>
  </si>
  <si>
    <t>SPAIN</t>
  </si>
  <si>
    <t>LIBYA</t>
  </si>
  <si>
    <t>HORSHAM</t>
  </si>
  <si>
    <t>GV</t>
  </si>
  <si>
    <t>GUINEA</t>
  </si>
  <si>
    <t>FEASTERVILLE TREVOSE</t>
  </si>
  <si>
    <t>CM</t>
  </si>
  <si>
    <t>CAMEROUN</t>
  </si>
  <si>
    <t>BENSALEM; FEASTERVILLE; LANGHORNE; LEVITTOWN; TREVOSE; WARMINSTER; SOUTHAMPTON; FEASTERVILLE TREVOSE</t>
  </si>
  <si>
    <t>MCSHERRYSTOWN</t>
  </si>
  <si>
    <t>BU</t>
  </si>
  <si>
    <t>NI</t>
  </si>
  <si>
    <t>HUNTINGTON VALLEY</t>
  </si>
  <si>
    <t>LO</t>
  </si>
  <si>
    <t>AA</t>
  </si>
  <si>
    <t>Aruba</t>
  </si>
  <si>
    <t>AB</t>
  </si>
  <si>
    <t>Asia</t>
  </si>
  <si>
    <t>AC</t>
  </si>
  <si>
    <t>Antigua and Barbuda</t>
  </si>
  <si>
    <t>Afghanistan</t>
  </si>
  <si>
    <t>AG</t>
  </si>
  <si>
    <t>Algeria</t>
  </si>
  <si>
    <t>AJ</t>
  </si>
  <si>
    <t>Azerbaijan</t>
  </si>
  <si>
    <t>AL</t>
  </si>
  <si>
    <t>Albania</t>
  </si>
  <si>
    <t>Armenia</t>
  </si>
  <si>
    <t>AN</t>
  </si>
  <si>
    <t>Andorra</t>
  </si>
  <si>
    <t>AO</t>
  </si>
  <si>
    <t>Angola</t>
  </si>
  <si>
    <t>AR</t>
  </si>
  <si>
    <t>Argentina</t>
  </si>
  <si>
    <t>AS</t>
  </si>
  <si>
    <t>Australia</t>
  </si>
  <si>
    <t>AT</t>
  </si>
  <si>
    <t>Ashmore and Cartier Islands</t>
  </si>
  <si>
    <t>AU</t>
  </si>
  <si>
    <t>Austria</t>
  </si>
  <si>
    <t>AV</t>
  </si>
  <si>
    <t>Anguilla</t>
  </si>
  <si>
    <t>AY</t>
  </si>
  <si>
    <t>Antarctica</t>
  </si>
  <si>
    <t>BA</t>
  </si>
  <si>
    <t>Bahrain</t>
  </si>
  <si>
    <t>BB</t>
  </si>
  <si>
    <t>Barbados</t>
  </si>
  <si>
    <t>BC</t>
  </si>
  <si>
    <t>Botswana</t>
  </si>
  <si>
    <t>BD</t>
  </si>
  <si>
    <t>Bermuda</t>
  </si>
  <si>
    <t>BE</t>
  </si>
  <si>
    <t>Belgium</t>
  </si>
  <si>
    <t>BF</t>
  </si>
  <si>
    <t>The Bahamas</t>
  </si>
  <si>
    <t>BG</t>
  </si>
  <si>
    <t>Bangladesh</t>
  </si>
  <si>
    <t>BH</t>
  </si>
  <si>
    <t>Belize</t>
  </si>
  <si>
    <t>BK</t>
  </si>
  <si>
    <t>Bosnia-Herzegovina</t>
  </si>
  <si>
    <t>BL</t>
  </si>
  <si>
    <t>Bolivia</t>
  </si>
  <si>
    <t>Myanmar</t>
  </si>
  <si>
    <t>BN</t>
  </si>
  <si>
    <t>Benin</t>
  </si>
  <si>
    <t>Belarus</t>
  </si>
  <si>
    <t>BP</t>
  </si>
  <si>
    <t>Solomon Islands</t>
  </si>
  <si>
    <t>BR</t>
  </si>
  <si>
    <t>Brazil</t>
  </si>
  <si>
    <t>Bhutan</t>
  </si>
  <si>
    <t>Bulgaria</t>
  </si>
  <si>
    <t>BV</t>
  </si>
  <si>
    <t>Bouvet Island</t>
  </si>
  <si>
    <t>BX</t>
  </si>
  <si>
    <t>Brunei</t>
  </si>
  <si>
    <t>Burundi</t>
  </si>
  <si>
    <t>CA</t>
  </si>
  <si>
    <t>Canada</t>
  </si>
  <si>
    <t>CB</t>
  </si>
  <si>
    <t>Cambodia</t>
  </si>
  <si>
    <t>CD</t>
  </si>
  <si>
    <t>Chad</t>
  </si>
  <si>
    <t>Sri Lanka</t>
  </si>
  <si>
    <t>Republic of the Congo</t>
  </si>
  <si>
    <t>Democratic Republic of the Congo</t>
  </si>
  <si>
    <t>People's Republic of China</t>
  </si>
  <si>
    <t>CI</t>
  </si>
  <si>
    <t>Chile</t>
  </si>
  <si>
    <t>CJ</t>
  </si>
  <si>
    <t>Cayman Islands</t>
  </si>
  <si>
    <t>CK</t>
  </si>
  <si>
    <t>Cocos (Keeling) Islands</t>
  </si>
  <si>
    <t>Cameroun</t>
  </si>
  <si>
    <t>CN</t>
  </si>
  <si>
    <t>Comoros</t>
  </si>
  <si>
    <t>Colombia</t>
  </si>
  <si>
    <t>CQ</t>
  </si>
  <si>
    <t>Northern Mariana Islands</t>
  </si>
  <si>
    <t>CR</t>
  </si>
  <si>
    <t>Coral Sea Islands</t>
  </si>
  <si>
    <t>CS</t>
  </si>
  <si>
    <t>Costa Rica</t>
  </si>
  <si>
    <t>Central African Republic</t>
  </si>
  <si>
    <t>Cuba</t>
  </si>
  <si>
    <t>CV</t>
  </si>
  <si>
    <t>Cape Verde</t>
  </si>
  <si>
    <t>CW</t>
  </si>
  <si>
    <t>Cook Islands</t>
  </si>
  <si>
    <t>CY</t>
  </si>
  <si>
    <t>Cyprus</t>
  </si>
  <si>
    <t>CZ</t>
  </si>
  <si>
    <t>Czech Republic</t>
  </si>
  <si>
    <t>Denmark</t>
  </si>
  <si>
    <t>DJ</t>
  </si>
  <si>
    <t>Djibouti</t>
  </si>
  <si>
    <t>DO</t>
  </si>
  <si>
    <t>Dominica</t>
  </si>
  <si>
    <t>DR</t>
  </si>
  <si>
    <t>Dominican Republic</t>
  </si>
  <si>
    <t>Ecuador</t>
  </si>
  <si>
    <t>EE</t>
  </si>
  <si>
    <t>Europe</t>
  </si>
  <si>
    <t>Egypt</t>
  </si>
  <si>
    <t>EI</t>
  </si>
  <si>
    <t>Ireland</t>
  </si>
  <si>
    <t>EK</t>
  </si>
  <si>
    <t>Equatorial Guinea</t>
  </si>
  <si>
    <t>EN</t>
  </si>
  <si>
    <t>Estonia</t>
  </si>
  <si>
    <t>Eritrea</t>
  </si>
  <si>
    <t>Spain</t>
  </si>
  <si>
    <t>Ethiopia</t>
  </si>
  <si>
    <t>FF</t>
  </si>
  <si>
    <t>Africa</t>
  </si>
  <si>
    <t>FG</t>
  </si>
  <si>
    <t>French Guiana</t>
  </si>
  <si>
    <t>FI</t>
  </si>
  <si>
    <t>Finland</t>
  </si>
  <si>
    <t>FJ</t>
  </si>
  <si>
    <t>Fiji</t>
  </si>
  <si>
    <t>FK</t>
  </si>
  <si>
    <t>Falkland Islands</t>
  </si>
  <si>
    <t>FM</t>
  </si>
  <si>
    <t>Federated States of Micronesia</t>
  </si>
  <si>
    <t>FO</t>
  </si>
  <si>
    <t>Faroe Islands</t>
  </si>
  <si>
    <t>FP</t>
  </si>
  <si>
    <t>French Polynesia</t>
  </si>
  <si>
    <t>France</t>
  </si>
  <si>
    <t>FS</t>
  </si>
  <si>
    <t>French Southern Territories</t>
  </si>
  <si>
    <t>FY</t>
  </si>
  <si>
    <t>Macedonia, The Former Yugoslav Republic of</t>
  </si>
  <si>
    <t>GM</t>
  </si>
  <si>
    <t>The Gambia</t>
  </si>
  <si>
    <t>GA</t>
  </si>
  <si>
    <t>Gabon</t>
  </si>
  <si>
    <t>GC</t>
  </si>
  <si>
    <t>East Germany</t>
  </si>
  <si>
    <t>GE</t>
  </si>
  <si>
    <t>Germany</t>
  </si>
  <si>
    <t>GG</t>
  </si>
  <si>
    <t>Georgia</t>
  </si>
  <si>
    <t>GH</t>
  </si>
  <si>
    <t>Ghana</t>
  </si>
  <si>
    <t>GI</t>
  </si>
  <si>
    <t>Gibraltar</t>
  </si>
  <si>
    <t>GJ</t>
  </si>
  <si>
    <t>Grenada</t>
  </si>
  <si>
    <t>GL</t>
  </si>
  <si>
    <t>Greenland</t>
  </si>
  <si>
    <t>GP</t>
  </si>
  <si>
    <t>Guadeloupe</t>
  </si>
  <si>
    <t>GQ</t>
  </si>
  <si>
    <t>Guam</t>
  </si>
  <si>
    <t>GR</t>
  </si>
  <si>
    <t>Greece</t>
  </si>
  <si>
    <t>GT</t>
  </si>
  <si>
    <t>Guatemala</t>
  </si>
  <si>
    <t>Guinea</t>
  </si>
  <si>
    <t>GY</t>
  </si>
  <si>
    <t>Guyana</t>
  </si>
  <si>
    <t>Haiti</t>
  </si>
  <si>
    <t>HK</t>
  </si>
  <si>
    <t>Hong Kong</t>
  </si>
  <si>
    <t>HM</t>
  </si>
  <si>
    <t>Heard and McDonald Islands</t>
  </si>
  <si>
    <t>HO</t>
  </si>
  <si>
    <t>Honduras</t>
  </si>
  <si>
    <t>HQ</t>
  </si>
  <si>
    <t>Howland Island</t>
  </si>
  <si>
    <t>HR</t>
  </si>
  <si>
    <t>Croatia</t>
  </si>
  <si>
    <t>Hungary</t>
  </si>
  <si>
    <t>IC</t>
  </si>
  <si>
    <t>Iceland</t>
  </si>
  <si>
    <t>Indonesia</t>
  </si>
  <si>
    <t>India</t>
  </si>
  <si>
    <t>IO</t>
  </si>
  <si>
    <t>British Indian Ocean Territory</t>
  </si>
  <si>
    <t>IQ</t>
  </si>
  <si>
    <t>U.S. Minor Outlying Islands</t>
  </si>
  <si>
    <t>Iran</t>
  </si>
  <si>
    <t>IS</t>
  </si>
  <si>
    <t>Israel</t>
  </si>
  <si>
    <t>IT</t>
  </si>
  <si>
    <t>Italy</t>
  </si>
  <si>
    <t>Côte d'Ivoire</t>
  </si>
  <si>
    <t>Iraq</t>
  </si>
  <si>
    <t>JA</t>
  </si>
  <si>
    <t>Japan</t>
  </si>
  <si>
    <t>JM</t>
  </si>
  <si>
    <t>Jamaica</t>
  </si>
  <si>
    <t>JN</t>
  </si>
  <si>
    <t>Jan Mayen Island</t>
  </si>
  <si>
    <t>Jordan</t>
  </si>
  <si>
    <t>JQ</t>
  </si>
  <si>
    <t>Johnston Atoll</t>
  </si>
  <si>
    <t>Kenya</t>
  </si>
  <si>
    <t>KG</t>
  </si>
  <si>
    <t>Kyrgyzstan</t>
  </si>
  <si>
    <t>KN</t>
  </si>
  <si>
    <t>Democratic People's Republic of Korea</t>
  </si>
  <si>
    <t>KR</t>
  </si>
  <si>
    <t>Kiribati</t>
  </si>
  <si>
    <t>KS</t>
  </si>
  <si>
    <t>Republic of Korea</t>
  </si>
  <si>
    <t>KT</t>
  </si>
  <si>
    <t>Christmas Island</t>
  </si>
  <si>
    <t>KU</t>
  </si>
  <si>
    <t>Kuwait</t>
  </si>
  <si>
    <t>Kazakhstan</t>
  </si>
  <si>
    <t>LA</t>
  </si>
  <si>
    <t>Laos</t>
  </si>
  <si>
    <t>Lebanon</t>
  </si>
  <si>
    <t>LG</t>
  </si>
  <si>
    <t>Latvia</t>
  </si>
  <si>
    <t>LH</t>
  </si>
  <si>
    <t>Lithuania</t>
  </si>
  <si>
    <t>Liberia</t>
  </si>
  <si>
    <t>Slovakia</t>
  </si>
  <si>
    <t>LS</t>
  </si>
  <si>
    <t>Liechtenstein</t>
  </si>
  <si>
    <t>LT</t>
  </si>
  <si>
    <t>Lesotho</t>
  </si>
  <si>
    <t>LU</t>
  </si>
  <si>
    <t>Luxembourg</t>
  </si>
  <si>
    <t>Libya</t>
  </si>
  <si>
    <t>MA</t>
  </si>
  <si>
    <t>Madagascar</t>
  </si>
  <si>
    <t>MB</t>
  </si>
  <si>
    <t>Martinique</t>
  </si>
  <si>
    <t>MC</t>
  </si>
  <si>
    <t>Macau</t>
  </si>
  <si>
    <t>Republic of Moldova</t>
  </si>
  <si>
    <t>ME</t>
  </si>
  <si>
    <t>Montenegro</t>
  </si>
  <si>
    <t>MG</t>
  </si>
  <si>
    <t>Mongolia</t>
  </si>
  <si>
    <t>MH</t>
  </si>
  <si>
    <t>Montserrat</t>
  </si>
  <si>
    <t>MI</t>
  </si>
  <si>
    <t>Malawi</t>
  </si>
  <si>
    <t>Mali</t>
  </si>
  <si>
    <t>MN</t>
  </si>
  <si>
    <t>Monaco</t>
  </si>
  <si>
    <t>MO</t>
  </si>
  <si>
    <t>Morocco</t>
  </si>
  <si>
    <t>MP</t>
  </si>
  <si>
    <t>Mauritius</t>
  </si>
  <si>
    <t>MR</t>
  </si>
  <si>
    <t>Mauritania</t>
  </si>
  <si>
    <t>MT</t>
  </si>
  <si>
    <t>Malta</t>
  </si>
  <si>
    <t>MU</t>
  </si>
  <si>
    <t>Oman</t>
  </si>
  <si>
    <t>MV</t>
  </si>
  <si>
    <t>The Maldives</t>
  </si>
  <si>
    <t>MX</t>
  </si>
  <si>
    <t>Mexico</t>
  </si>
  <si>
    <t>Malaysia</t>
  </si>
  <si>
    <t>MZ</t>
  </si>
  <si>
    <t>Mozambique</t>
  </si>
  <si>
    <t>NA</t>
  </si>
  <si>
    <t>Netherlands Antilles</t>
  </si>
  <si>
    <t>NC</t>
  </si>
  <si>
    <t>New Caledonia</t>
  </si>
  <si>
    <t>NE</t>
  </si>
  <si>
    <t>Niue</t>
  </si>
  <si>
    <t>NF</t>
  </si>
  <si>
    <t>Norfolk Island</t>
  </si>
  <si>
    <t>NG</t>
  </si>
  <si>
    <t>Niger</t>
  </si>
  <si>
    <t>NH</t>
  </si>
  <si>
    <t>Vanuatu</t>
  </si>
  <si>
    <t>Nigeria</t>
  </si>
  <si>
    <t>NL</t>
  </si>
  <si>
    <t>Netherlands</t>
  </si>
  <si>
    <t>NN</t>
  </si>
  <si>
    <t>North America</t>
  </si>
  <si>
    <t>NO</t>
  </si>
  <si>
    <t>Norway</t>
  </si>
  <si>
    <t>Nepal</t>
  </si>
  <si>
    <t>NR</t>
  </si>
  <si>
    <t>Nauru</t>
  </si>
  <si>
    <t>NS</t>
  </si>
  <si>
    <t>Suriname</t>
  </si>
  <si>
    <t>NT</t>
  </si>
  <si>
    <t>NATO countries</t>
  </si>
  <si>
    <t>NU</t>
  </si>
  <si>
    <t>Nicaragua</t>
  </si>
  <si>
    <t>NZ</t>
  </si>
  <si>
    <t>New Zealand</t>
  </si>
  <si>
    <t>Paraguay</t>
  </si>
  <si>
    <t>Pitcairn Islands</t>
  </si>
  <si>
    <t>PE</t>
  </si>
  <si>
    <t>Peru</t>
  </si>
  <si>
    <t>PF</t>
  </si>
  <si>
    <t>Paracel Islands</t>
  </si>
  <si>
    <t>Pakistan</t>
  </si>
  <si>
    <t>PL</t>
  </si>
  <si>
    <t>Poland</t>
  </si>
  <si>
    <t>PM</t>
  </si>
  <si>
    <t>Panama</t>
  </si>
  <si>
    <t>PO</t>
  </si>
  <si>
    <t>Portugal</t>
  </si>
  <si>
    <t>PP</t>
  </si>
  <si>
    <t>Papua New Guinea</t>
  </si>
  <si>
    <t>PS</t>
  </si>
  <si>
    <t>Palau</t>
  </si>
  <si>
    <t>Palestinian Territory</t>
  </si>
  <si>
    <t>PU</t>
  </si>
  <si>
    <t>Guinea-Bissau</t>
  </si>
  <si>
    <t>QA</t>
  </si>
  <si>
    <t>Qatar</t>
  </si>
  <si>
    <t>RE</t>
  </si>
  <si>
    <t>Réunion</t>
  </si>
  <si>
    <t>RM</t>
  </si>
  <si>
    <t>Marshall Islands</t>
  </si>
  <si>
    <t>RO</t>
  </si>
  <si>
    <t>Romania</t>
  </si>
  <si>
    <t>RP</t>
  </si>
  <si>
    <t>Philippines</t>
  </si>
  <si>
    <t>RQ</t>
  </si>
  <si>
    <t>Puerto Rico</t>
  </si>
  <si>
    <t>Serbia</t>
  </si>
  <si>
    <t>RU</t>
  </si>
  <si>
    <t>Russia</t>
  </si>
  <si>
    <t>Rwanda</t>
  </si>
  <si>
    <t>SA</t>
  </si>
  <si>
    <t>Saudi Arabia</t>
  </si>
  <si>
    <t>SB</t>
  </si>
  <si>
    <t>Saint Pierre and Miquelon</t>
  </si>
  <si>
    <t>SC</t>
  </si>
  <si>
    <t>Saint Kitts and Nevis</t>
  </si>
  <si>
    <t>SE</t>
  </si>
  <si>
    <t>Seychelles</t>
  </si>
  <si>
    <t>SF</t>
  </si>
  <si>
    <t>South Africa</t>
  </si>
  <si>
    <t>SG</t>
  </si>
  <si>
    <t>Senegal</t>
  </si>
  <si>
    <t>SH</t>
  </si>
  <si>
    <t>Saint Helena</t>
  </si>
  <si>
    <t>SI</t>
  </si>
  <si>
    <t>Slovenia</t>
  </si>
  <si>
    <t>SJ</t>
  </si>
  <si>
    <t>Svalbard and Jan Mayen Islands</t>
  </si>
  <si>
    <t>Sierra Leone</t>
  </si>
  <si>
    <t>SM</t>
  </si>
  <si>
    <t>San Marino</t>
  </si>
  <si>
    <t>SN</t>
  </si>
  <si>
    <t>Singapore</t>
  </si>
  <si>
    <t>Somalia</t>
  </si>
  <si>
    <t>SR</t>
  </si>
  <si>
    <t>South America</t>
  </si>
  <si>
    <t>American Samoa</t>
  </si>
  <si>
    <t>Samoa</t>
  </si>
  <si>
    <t>ST</t>
  </si>
  <si>
    <t>Saint Lucia</t>
  </si>
  <si>
    <t>Sudan</t>
  </si>
  <si>
    <t>SV</t>
  </si>
  <si>
    <t>El Salvador</t>
  </si>
  <si>
    <t>SW</t>
  </si>
  <si>
    <t>Sweden</t>
  </si>
  <si>
    <t>SX</t>
  </si>
  <si>
    <t>South Georgia and South Sandwich Islands</t>
  </si>
  <si>
    <t>Syria</t>
  </si>
  <si>
    <t>SZ</t>
  </si>
  <si>
    <t>Switzerland</t>
  </si>
  <si>
    <t>TC</t>
  </si>
  <si>
    <t>United Arab Emirates</t>
  </si>
  <si>
    <t>TD</t>
  </si>
  <si>
    <t>Trinidad and Tobago</t>
  </si>
  <si>
    <t>Thailand</t>
  </si>
  <si>
    <t>Tajikistan</t>
  </si>
  <si>
    <t>TK</t>
  </si>
  <si>
    <t>Turks and Caicos Islands</t>
  </si>
  <si>
    <t>Tokelau</t>
  </si>
  <si>
    <t>TL</t>
  </si>
  <si>
    <t>Timor-Leste</t>
  </si>
  <si>
    <t>TN</t>
  </si>
  <si>
    <t>Tonga</t>
  </si>
  <si>
    <t>TO</t>
  </si>
  <si>
    <t>Togo</t>
  </si>
  <si>
    <t>TP</t>
  </si>
  <si>
    <t>São Tomé and Príncipe</t>
  </si>
  <si>
    <t>TS</t>
  </si>
  <si>
    <t>Tunisia</t>
  </si>
  <si>
    <t>TU</t>
  </si>
  <si>
    <t>Turkey</t>
  </si>
  <si>
    <t>TV</t>
  </si>
  <si>
    <t>Tuvalu</t>
  </si>
  <si>
    <t>TW</t>
  </si>
  <si>
    <t>Republic of China (Taiwan)</t>
  </si>
  <si>
    <t>TX</t>
  </si>
  <si>
    <t>Turkmenistan</t>
  </si>
  <si>
    <t>Tanzania</t>
  </si>
  <si>
    <t>Uganda</t>
  </si>
  <si>
    <t>GB</t>
  </si>
  <si>
    <r>
      <t>United Kingdom</t>
    </r>
    <r>
      <rPr>
        <sz val="11"/>
        <color rgb="FF000000"/>
        <rFont val="Arial"/>
        <family val="2"/>
      </rPr>
      <t> (</t>
    </r>
    <r>
      <rPr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Northern Ireland</t>
    </r>
    <r>
      <rPr>
        <sz val="11"/>
        <color rgb="FF000000"/>
        <rFont val="Arial"/>
        <family val="2"/>
      </rPr>
      <t>)</t>
    </r>
  </si>
  <si>
    <t>Ukraine</t>
  </si>
  <si>
    <t>UR</t>
  </si>
  <si>
    <t>Union of Soviet Socialist Republics</t>
  </si>
  <si>
    <t>US</t>
  </si>
  <si>
    <t>United States</t>
  </si>
  <si>
    <t>UU</t>
  </si>
  <si>
    <t>Oceania</t>
  </si>
  <si>
    <t>UV</t>
  </si>
  <si>
    <t>Burkina Faso</t>
  </si>
  <si>
    <t>UY</t>
  </si>
  <si>
    <t>Uruguay</t>
  </si>
  <si>
    <t>Uzbekistan</t>
  </si>
  <si>
    <t>VC</t>
  </si>
  <si>
    <t>Saint Vincent and the Grenadines</t>
  </si>
  <si>
    <t>VE</t>
  </si>
  <si>
    <t>Venezuela</t>
  </si>
  <si>
    <t>VI</t>
  </si>
  <si>
    <t>U.S. Virgin Islands</t>
  </si>
  <si>
    <t>Vietnam</t>
  </si>
  <si>
    <t>VS</t>
  </si>
  <si>
    <t>British Virgin Islands</t>
  </si>
  <si>
    <t>VT</t>
  </si>
  <si>
    <t>Vatican City (Holy See)</t>
  </si>
  <si>
    <t>Namibia</t>
  </si>
  <si>
    <t>WF</t>
  </si>
  <si>
    <t>Wallis and Futuna Islands</t>
  </si>
  <si>
    <t>Western Sahara</t>
  </si>
  <si>
    <t>WZ</t>
  </si>
  <si>
    <t>Swaziland</t>
  </si>
  <si>
    <t>XB</t>
  </si>
  <si>
    <t>"Brownland"</t>
  </si>
  <si>
    <t>XE</t>
  </si>
  <si>
    <t>SHAPE (ACO Command)</t>
  </si>
  <si>
    <t>XG</t>
  </si>
  <si>
    <t>"Greyland"</t>
  </si>
  <si>
    <t>XI</t>
  </si>
  <si>
    <t>"Indigoland"</t>
  </si>
  <si>
    <t>XL</t>
  </si>
  <si>
    <t>"Limeland"</t>
  </si>
  <si>
    <t>XM</t>
  </si>
  <si>
    <t>NATO</t>
  </si>
  <si>
    <t>XN</t>
  </si>
  <si>
    <t>NATO "Blue" Command</t>
  </si>
  <si>
    <t>XP</t>
  </si>
  <si>
    <t>"Purpleland"</t>
  </si>
  <si>
    <t>XR</t>
  </si>
  <si>
    <t>"Redland"</t>
  </si>
  <si>
    <t>XS</t>
  </si>
  <si>
    <t>SACLANT (HQ SACT Command)</t>
  </si>
  <si>
    <t>XW</t>
  </si>
  <si>
    <t>"Whiteland"</t>
  </si>
  <si>
    <t>XY</t>
  </si>
  <si>
    <t>"Yellowland"</t>
  </si>
  <si>
    <t>YE</t>
  </si>
  <si>
    <t>Yemen</t>
  </si>
  <si>
    <t>YO</t>
  </si>
  <si>
    <t>Yugoslavia</t>
  </si>
  <si>
    <t>YT</t>
  </si>
  <si>
    <t>Mayotte</t>
  </si>
  <si>
    <t>—</t>
  </si>
  <si>
    <t>Serbia and Montenegro</t>
  </si>
  <si>
    <t>YU</t>
  </si>
  <si>
    <t>Yugoslavia (Federal Republic of)</t>
  </si>
  <si>
    <t>Zambia</t>
  </si>
  <si>
    <t>ZI</t>
  </si>
  <si>
    <t>CONSHOHOCKEN; ROSLYN; COLLEGEVILLE; NORRISTOWN; WILLOW GROVE; ELKINS PARK; Huntingdon Valley</t>
  </si>
  <si>
    <t>HUNTINGDON VALLEY</t>
  </si>
  <si>
    <t>PITTSBURGH; LEETSDALE; SEWICKLEY;CASTLE SHANNON; SHARPSBURG; BELLEVUE; BRENTWOOD; CLAIRTON; EAST MILLSBORO; ETNA; CASTLE SHANNON</t>
  </si>
  <si>
    <t xml:space="preserve">HARRISBURG </t>
  </si>
  <si>
    <t>NIGERIA</t>
  </si>
  <si>
    <t>DUBOIS</t>
  </si>
  <si>
    <t>GLENOLDEN</t>
  </si>
  <si>
    <t>INDIANA; DUBOIS</t>
  </si>
  <si>
    <t>BOOTHWYN; BROOMALL; CLIFTON HEIGHTS; COLLINGDALE; DARBY; MEDIA; NORWOOD; SWARTHMORE; UPPER CHICHESTER; GLENOLDEN</t>
  </si>
  <si>
    <t>HAMPDEN TOWNSHIP</t>
  </si>
  <si>
    <t>CAMP HILL; CARLISLE; ENOLA; MECHANICSBURG; NEW CUMBERLAND; SHIREMANSTOWN; Hampden Township</t>
  </si>
  <si>
    <t>Aug</t>
  </si>
  <si>
    <t>ETTERS</t>
  </si>
  <si>
    <t>YORK, ETTERS</t>
  </si>
  <si>
    <t>BULGARIA</t>
  </si>
  <si>
    <t>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</si>
</sst>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\-mmm\-yyyy"/>
    <numFmt numFmtId="165" formatCode="mm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2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8"/>
      <color indexed="8"/>
      <name val="Arial"/>
      <charset val="1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EED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15" fillId="0" borderId="0"/>
    <xf numFmtId="0" fontId="16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16" fillId="0" borderId="0"/>
  </cellStyleXfs>
  <cellXfs count="413">
    <xf numFmtId="0" fontId="0" fillId="0" borderId="0" xfId="0"/>
    <xf numFmtId="0" fontId="4" fillId="0" borderId="0" xfId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5" borderId="1" xfId="1" applyFont="1" applyFill="1" applyBorder="1" applyAlignment="1" applyProtection="1">
      <alignment horizontal="center" vertical="center" wrapText="1" readingOrder="1"/>
      <protection locked="0"/>
    </xf>
    <xf numFmtId="0" fontId="8" fillId="6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8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5" xfId="1" applyFont="1" applyBorder="1" applyAlignment="1" applyProtection="1">
      <alignment horizontal="left" vertical="top" wrapText="1" readingOrder="1"/>
      <protection locked="0"/>
    </xf>
    <xf numFmtId="0" fontId="8" fillId="0" borderId="7" xfId="1" applyFont="1" applyBorder="1" applyAlignment="1" applyProtection="1">
      <alignment horizontal="center" vertical="center" wrapText="1" readingOrder="1"/>
      <protection locked="0"/>
    </xf>
    <xf numFmtId="0" fontId="7" fillId="9" borderId="1" xfId="1" applyFont="1" applyFill="1" applyBorder="1" applyAlignment="1" applyProtection="1">
      <alignment vertical="top" wrapText="1" readingOrder="1"/>
      <protection locked="0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1" fillId="10" borderId="1" xfId="1" applyFont="1" applyFill="1" applyBorder="1" applyAlignment="1" applyProtection="1">
      <alignment horizontal="center" vertical="center" readingOrder="1"/>
      <protection locked="0"/>
    </xf>
    <xf numFmtId="0" fontId="1" fillId="10" borderId="1" xfId="0" applyFont="1" applyFill="1" applyBorder="1" applyAlignment="1">
      <alignment horizontal="center" vertical="center"/>
    </xf>
    <xf numFmtId="0" fontId="11" fillId="10" borderId="1" xfId="0" applyFont="1" applyFill="1" applyBorder="1"/>
    <xf numFmtId="0" fontId="11" fillId="1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1" xfId="1" applyFont="1" applyFill="1" applyBorder="1" applyAlignment="1" applyProtection="1">
      <alignment horizontal="left" vertical="center" wrapText="1" readingOrder="1"/>
      <protection locked="0"/>
    </xf>
    <xf numFmtId="0" fontId="9" fillId="6" borderId="1" xfId="1" applyFont="1" applyFill="1" applyBorder="1" applyAlignment="1" applyProtection="1">
      <alignment horizontal="left" vertical="center" wrapText="1" readingOrder="1"/>
      <protection locked="0"/>
    </xf>
    <xf numFmtId="0" fontId="9" fillId="5" borderId="1" xfId="1" applyFont="1" applyFill="1" applyBorder="1" applyAlignment="1" applyProtection="1">
      <alignment horizontal="left" vertical="center" wrapText="1" readingOrder="1"/>
      <protection locked="0"/>
    </xf>
    <xf numFmtId="0" fontId="9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10" borderId="1" xfId="1" applyFont="1" applyFill="1" applyBorder="1" applyAlignment="1" applyProtection="1">
      <alignment horizontal="left" vertical="center" wrapText="1" readingOrder="1"/>
      <protection locked="0"/>
    </xf>
    <xf numFmtId="0" fontId="2" fillId="5" borderId="1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14" fillId="3" borderId="9" xfId="0" applyFont="1" applyFill="1" applyBorder="1" applyAlignment="1">
      <alignment horizontal="left" indent="1"/>
    </xf>
    <xf numFmtId="0" fontId="14" fillId="4" borderId="9" xfId="0" applyFont="1" applyFill="1" applyBorder="1" applyAlignment="1">
      <alignment horizontal="left" indent="1"/>
    </xf>
    <xf numFmtId="0" fontId="14" fillId="6" borderId="9" xfId="0" applyFont="1" applyFill="1" applyBorder="1" applyAlignment="1">
      <alignment horizontal="left" indent="1"/>
    </xf>
    <xf numFmtId="0" fontId="14" fillId="5" borderId="9" xfId="0" applyFont="1" applyFill="1" applyBorder="1" applyAlignment="1">
      <alignment horizontal="left" indent="1"/>
    </xf>
    <xf numFmtId="0" fontId="14" fillId="2" borderId="9" xfId="0" applyFont="1" applyFill="1" applyBorder="1" applyAlignment="1">
      <alignment horizontal="left" indent="1"/>
    </xf>
    <xf numFmtId="0" fontId="14" fillId="11" borderId="10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/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indent="1"/>
    </xf>
    <xf numFmtId="0" fontId="0" fillId="0" borderId="15" xfId="0" applyBorder="1" applyAlignment="1">
      <alignment horizontal="center" vertical="center"/>
    </xf>
    <xf numFmtId="0" fontId="2" fillId="6" borderId="9" xfId="0" applyFont="1" applyFill="1" applyBorder="1" applyAlignment="1">
      <alignment horizontal="left" indent="1"/>
    </xf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left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7" fillId="0" borderId="21" xfId="1" applyFont="1" applyBorder="1" applyAlignment="1" applyProtection="1">
      <alignment wrapText="1" readingOrder="1"/>
      <protection locked="0"/>
    </xf>
    <xf numFmtId="0" fontId="17" fillId="0" borderId="21" xfId="1" applyFont="1" applyBorder="1" applyAlignment="1" applyProtection="1">
      <alignment horizontal="center" wrapText="1" readingOrder="1"/>
      <protection locked="0"/>
    </xf>
    <xf numFmtId="0" fontId="18" fillId="0" borderId="21" xfId="1" applyFont="1" applyBorder="1" applyAlignment="1" applyProtection="1">
      <alignment wrapText="1" readingOrder="1"/>
      <protection locked="0"/>
    </xf>
    <xf numFmtId="0" fontId="18" fillId="0" borderId="21" xfId="1" applyFont="1" applyBorder="1" applyAlignment="1" applyProtection="1">
      <alignment horizontal="center" wrapText="1" readingOrder="1"/>
      <protection locked="0"/>
    </xf>
    <xf numFmtId="165" fontId="17" fillId="0" borderId="21" xfId="1" applyNumberFormat="1" applyFont="1" applyBorder="1" applyAlignment="1" applyProtection="1">
      <alignment horizontal="center" wrapText="1" readingOrder="1"/>
      <protection locked="0"/>
    </xf>
    <xf numFmtId="0" fontId="3" fillId="11" borderId="0" xfId="1" applyFill="1"/>
    <xf numFmtId="0" fontId="11" fillId="2" borderId="1" xfId="3" applyFont="1" applyFill="1" applyBorder="1" applyAlignment="1">
      <alignment horizontal="center"/>
    </xf>
    <xf numFmtId="0" fontId="11" fillId="11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0" fontId="2" fillId="11" borderId="1" xfId="3" applyFont="1" applyFill="1" applyBorder="1" applyAlignment="1">
      <alignment horizontal="left" indent="1"/>
    </xf>
    <xf numFmtId="0" fontId="11" fillId="4" borderId="1" xfId="3" applyFont="1" applyFill="1" applyBorder="1" applyAlignment="1">
      <alignment horizontal="center"/>
    </xf>
    <xf numFmtId="0" fontId="15" fillId="0" borderId="0" xfId="1" applyFont="1"/>
    <xf numFmtId="0" fontId="15" fillId="11" borderId="0" xfId="1" applyFont="1" applyFill="1"/>
    <xf numFmtId="0" fontId="2" fillId="2" borderId="1" xfId="3" applyFont="1" applyFill="1" applyBorder="1" applyAlignment="1">
      <alignment horizontal="left" indent="1"/>
    </xf>
    <xf numFmtId="0" fontId="2" fillId="3" borderId="1" xfId="3" applyFont="1" applyFill="1" applyBorder="1" applyAlignment="1">
      <alignment horizontal="left" indent="1"/>
    </xf>
    <xf numFmtId="0" fontId="2" fillId="6" borderId="1" xfId="3" applyFont="1" applyFill="1" applyBorder="1" applyAlignment="1">
      <alignment horizontal="left" indent="1"/>
    </xf>
    <xf numFmtId="0" fontId="2" fillId="6" borderId="9" xfId="3" applyFont="1" applyFill="1" applyBorder="1" applyAlignment="1">
      <alignment horizontal="left" indent="1"/>
    </xf>
    <xf numFmtId="0" fontId="2" fillId="6" borderId="17" xfId="3" applyFont="1" applyFill="1" applyBorder="1" applyAlignment="1">
      <alignment horizontal="left" indent="1"/>
    </xf>
    <xf numFmtId="0" fontId="2" fillId="5" borderId="1" xfId="3" applyFont="1" applyFill="1" applyBorder="1" applyAlignment="1">
      <alignment horizontal="left" indent="1"/>
    </xf>
    <xf numFmtId="0" fontId="2" fillId="4" borderId="1" xfId="3" applyFont="1" applyFill="1" applyBorder="1" applyAlignment="1">
      <alignment horizontal="left" indent="1"/>
    </xf>
    <xf numFmtId="0" fontId="9" fillId="2" borderId="1" xfId="2" applyFont="1" applyFill="1" applyBorder="1" applyAlignment="1" applyProtection="1">
      <alignment horizontal="left" vertical="center" readingOrder="1"/>
      <protection locked="0"/>
    </xf>
    <xf numFmtId="0" fontId="9" fillId="11" borderId="0" xfId="2" applyFont="1" applyFill="1" applyBorder="1" applyAlignment="1" applyProtection="1">
      <alignment horizontal="left" vertical="center" readingOrder="1"/>
      <protection locked="0"/>
    </xf>
    <xf numFmtId="0" fontId="2" fillId="2" borderId="1" xfId="3" applyFont="1" applyFill="1" applyBorder="1" applyAlignment="1"/>
    <xf numFmtId="0" fontId="2" fillId="11" borderId="0" xfId="3" applyFont="1" applyFill="1" applyBorder="1" applyAlignment="1"/>
    <xf numFmtId="0" fontId="16" fillId="0" borderId="0" xfId="3" applyBorder="1" applyAlignment="1"/>
    <xf numFmtId="0" fontId="16" fillId="11" borderId="0" xfId="3" applyFill="1" applyBorder="1" applyAlignment="1"/>
    <xf numFmtId="0" fontId="11" fillId="11" borderId="0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left" indent="1"/>
    </xf>
    <xf numFmtId="0" fontId="9" fillId="3" borderId="1" xfId="2" applyFont="1" applyFill="1" applyBorder="1" applyAlignment="1" applyProtection="1">
      <alignment horizontal="left" vertical="center" wrapText="1" readingOrder="1"/>
      <protection locked="0"/>
    </xf>
    <xf numFmtId="0" fontId="9" fillId="11" borderId="0" xfId="2" applyFont="1" applyFill="1" applyBorder="1" applyAlignment="1" applyProtection="1">
      <alignment horizontal="left" vertical="center" wrapText="1" readingOrder="1"/>
      <protection locked="0"/>
    </xf>
    <xf numFmtId="0" fontId="9" fillId="6" borderId="1" xfId="2" applyFont="1" applyFill="1" applyBorder="1" applyAlignment="1" applyProtection="1">
      <alignment horizontal="left" vertical="center" readingOrder="1"/>
      <protection locked="0"/>
    </xf>
    <xf numFmtId="0" fontId="9" fillId="5" borderId="1" xfId="2" applyFont="1" applyFill="1" applyBorder="1" applyAlignment="1" applyProtection="1">
      <alignment horizontal="left" vertical="center" readingOrder="1"/>
      <protection locked="0"/>
    </xf>
    <xf numFmtId="0" fontId="15" fillId="0" borderId="0" xfId="1" applyFont="1" applyFill="1" applyBorder="1"/>
    <xf numFmtId="0" fontId="15" fillId="11" borderId="0" xfId="1" applyFont="1" applyFill="1" applyBorder="1"/>
    <xf numFmtId="0" fontId="16" fillId="0" borderId="6" xfId="3" applyBorder="1" applyAlignment="1"/>
    <xf numFmtId="0" fontId="3" fillId="0" borderId="0" xfId="1" applyBorder="1"/>
    <xf numFmtId="0" fontId="9" fillId="4" borderId="1" xfId="2" applyFont="1" applyFill="1" applyBorder="1" applyAlignment="1" applyProtection="1">
      <alignment horizontal="left" vertical="center" wrapText="1" readingOrder="1"/>
      <protection locked="0"/>
    </xf>
    <xf numFmtId="0" fontId="2" fillId="3" borderId="1" xfId="3" applyFont="1" applyFill="1" applyBorder="1" applyAlignment="1"/>
    <xf numFmtId="0" fontId="3" fillId="0" borderId="0" xfId="1" applyAlignment="1">
      <alignment horizontal="center"/>
    </xf>
    <xf numFmtId="0" fontId="2" fillId="6" borderId="1" xfId="3" applyFont="1" applyFill="1" applyBorder="1" applyAlignment="1"/>
    <xf numFmtId="0" fontId="2" fillId="6" borderId="16" xfId="3" applyFont="1" applyFill="1" applyBorder="1" applyAlignment="1">
      <alignment horizontal="left" indent="1"/>
    </xf>
    <xf numFmtId="0" fontId="2" fillId="5" borderId="1" xfId="3" applyFont="1" applyFill="1" applyBorder="1" applyAlignment="1"/>
    <xf numFmtId="0" fontId="16" fillId="0" borderId="6" xfId="3" applyFont="1" applyBorder="1" applyAlignment="1"/>
    <xf numFmtId="0" fontId="2" fillId="4" borderId="1" xfId="3" applyFont="1" applyFill="1" applyBorder="1" applyAlignment="1">
      <alignment horizontal="center"/>
    </xf>
    <xf numFmtId="0" fontId="3" fillId="8" borderId="0" xfId="1" applyFill="1"/>
    <xf numFmtId="0" fontId="20" fillId="0" borderId="0" xfId="1" applyFont="1"/>
    <xf numFmtId="0" fontId="21" fillId="0" borderId="0" xfId="1" applyFont="1"/>
    <xf numFmtId="165" fontId="21" fillId="0" borderId="0" xfId="1" applyNumberFormat="1" applyFont="1"/>
    <xf numFmtId="0" fontId="19" fillId="11" borderId="0" xfId="1" applyFont="1" applyFill="1" applyAlignment="1">
      <alignment horizontal="center"/>
    </xf>
    <xf numFmtId="0" fontId="22" fillId="14" borderId="1" xfId="3" applyFont="1" applyFill="1" applyBorder="1"/>
    <xf numFmtId="0" fontId="2" fillId="15" borderId="1" xfId="3" applyFont="1" applyFill="1" applyBorder="1" applyAlignment="1">
      <alignment horizontal="left" indent="1"/>
    </xf>
    <xf numFmtId="0" fontId="23" fillId="18" borderId="1" xfId="1" applyFont="1" applyFill="1" applyBorder="1" applyAlignment="1">
      <alignment vertical="center"/>
    </xf>
    <xf numFmtId="0" fontId="23" fillId="11" borderId="0" xfId="1" applyFont="1" applyFill="1" applyBorder="1" applyAlignment="1">
      <alignment vertical="center"/>
    </xf>
    <xf numFmtId="164" fontId="4" fillId="11" borderId="0" xfId="1" applyNumberFormat="1" applyFont="1" applyFill="1" applyBorder="1" applyAlignment="1" applyProtection="1">
      <alignment vertical="top" wrapText="1" readingOrder="1"/>
      <protection locked="0"/>
    </xf>
    <xf numFmtId="0" fontId="4" fillId="11" borderId="0" xfId="1" applyFont="1" applyFill="1" applyBorder="1" applyAlignment="1" applyProtection="1">
      <alignment horizontal="center" vertical="top" wrapText="1" readingOrder="1"/>
      <protection locked="0"/>
    </xf>
    <xf numFmtId="0" fontId="4" fillId="11" borderId="0" xfId="1" applyFont="1" applyFill="1" applyBorder="1" applyAlignment="1" applyProtection="1">
      <alignment horizontal="right" vertical="top" wrapText="1" readingOrder="1"/>
      <protection locked="0"/>
    </xf>
    <xf numFmtId="0" fontId="0" fillId="11" borderId="0" xfId="0" applyFill="1" applyBorder="1"/>
    <xf numFmtId="0" fontId="0" fillId="11" borderId="0" xfId="0" applyFill="1"/>
    <xf numFmtId="0" fontId="4" fillId="11" borderId="0" xfId="1" applyFont="1" applyFill="1" applyAlignment="1" applyProtection="1">
      <alignment horizontal="center" vertical="top" wrapText="1" readingOrder="1"/>
      <protection locked="0"/>
    </xf>
    <xf numFmtId="164" fontId="4" fillId="11" borderId="0" xfId="1" applyNumberFormat="1" applyFont="1" applyFill="1" applyAlignment="1" applyProtection="1">
      <alignment vertical="top" wrapText="1" readingOrder="1"/>
      <protection locked="0"/>
    </xf>
    <xf numFmtId="0" fontId="4" fillId="11" borderId="0" xfId="1" applyFont="1" applyFill="1" applyAlignment="1" applyProtection="1">
      <alignment horizontal="right" vertical="top" wrapText="1" readingOrder="1"/>
      <protection locked="0"/>
    </xf>
    <xf numFmtId="0" fontId="10" fillId="11" borderId="0" xfId="2" applyFont="1" applyFill="1" applyBorder="1" applyAlignment="1" applyProtection="1">
      <alignment horizontal="left" vertical="center" wrapText="1" readingOrder="1"/>
      <protection locked="0"/>
    </xf>
    <xf numFmtId="0" fontId="22" fillId="14" borderId="0" xfId="3" applyFont="1" applyFill="1" applyBorder="1"/>
    <xf numFmtId="0" fontId="2" fillId="16" borderId="22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center"/>
    </xf>
    <xf numFmtId="0" fontId="16" fillId="11" borderId="0" xfId="3" applyFill="1" applyBorder="1" applyAlignment="1">
      <alignment horizontal="center"/>
    </xf>
    <xf numFmtId="0" fontId="3" fillId="6" borderId="0" xfId="1" applyFill="1"/>
    <xf numFmtId="0" fontId="11" fillId="17" borderId="1" xfId="3" applyFont="1" applyFill="1" applyBorder="1" applyAlignment="1">
      <alignment horizontal="center"/>
    </xf>
    <xf numFmtId="0" fontId="2" fillId="17" borderId="1" xfId="3" applyFont="1" applyFill="1" applyBorder="1" applyAlignment="1">
      <alignment horizontal="left" indent="1"/>
    </xf>
    <xf numFmtId="0" fontId="2" fillId="17" borderId="9" xfId="3" applyFont="1" applyFill="1" applyBorder="1" applyAlignment="1">
      <alignment horizontal="left" indent="1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2" fillId="14" borderId="1" xfId="3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12" borderId="2" xfId="3" applyFont="1" applyFill="1" applyBorder="1"/>
    <xf numFmtId="0" fontId="2" fillId="12" borderId="4" xfId="3" applyFont="1" applyFill="1" applyBorder="1"/>
    <xf numFmtId="0" fontId="16" fillId="11" borderId="0" xfId="3" applyFill="1"/>
    <xf numFmtId="0" fontId="5" fillId="13" borderId="1" xfId="3" applyFont="1" applyFill="1" applyBorder="1" applyAlignment="1">
      <alignment horizontal="left" vertical="center"/>
    </xf>
    <xf numFmtId="0" fontId="5" fillId="13" borderId="1" xfId="3" applyFont="1" applyFill="1" applyBorder="1" applyAlignment="1">
      <alignment horizontal="center" vertical="center"/>
    </xf>
    <xf numFmtId="0" fontId="2" fillId="7" borderId="3" xfId="0" applyFont="1" applyFill="1" applyBorder="1" applyAlignment="1"/>
    <xf numFmtId="0" fontId="2" fillId="7" borderId="4" xfId="0" applyFont="1" applyFill="1" applyBorder="1" applyAlignment="1"/>
    <xf numFmtId="0" fontId="2" fillId="0" borderId="3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0" xfId="0" applyBorder="1" applyAlignment="1"/>
    <xf numFmtId="0" fontId="2" fillId="8" borderId="16" xfId="0" applyFont="1" applyFill="1" applyBorder="1" applyAlignment="1">
      <alignment vertical="center"/>
    </xf>
    <xf numFmtId="0" fontId="0" fillId="0" borderId="5" xfId="0" applyBorder="1" applyAlignment="1"/>
    <xf numFmtId="0" fontId="2" fillId="8" borderId="9" xfId="0" applyFont="1" applyFill="1" applyBorder="1" applyAlignment="1">
      <alignment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4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0" fillId="0" borderId="3" xfId="0" applyFont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3" fillId="11" borderId="0" xfId="1" applyFont="1" applyFill="1"/>
    <xf numFmtId="0" fontId="3" fillId="0" borderId="0" xfId="1"/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164" fontId="4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right" vertical="top" wrapText="1" readingOrder="1"/>
      <protection locked="0"/>
    </xf>
    <xf numFmtId="0" fontId="6" fillId="11" borderId="0" xfId="0" applyFont="1" applyFill="1"/>
    <xf numFmtId="0" fontId="3" fillId="19" borderId="0" xfId="1" applyFill="1"/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9" fillId="7" borderId="2" xfId="1" applyFont="1" applyFill="1" applyBorder="1" applyAlignment="1" applyProtection="1">
      <alignment vertical="center" readingOrder="1"/>
      <protection locked="0"/>
    </xf>
    <xf numFmtId="0" fontId="9" fillId="7" borderId="3" xfId="1" applyFont="1" applyFill="1" applyBorder="1" applyAlignment="1" applyProtection="1">
      <alignment vertical="center" readingOrder="1"/>
      <protection locked="0"/>
    </xf>
    <xf numFmtId="0" fontId="9" fillId="7" borderId="4" xfId="1" applyFont="1" applyFill="1" applyBorder="1" applyAlignment="1" applyProtection="1">
      <alignment vertical="center" readingOrder="1"/>
      <protection locked="0"/>
    </xf>
    <xf numFmtId="0" fontId="6" fillId="0" borderId="20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2" borderId="2" xfId="1" applyFont="1" applyFill="1" applyBorder="1" applyAlignment="1" applyProtection="1">
      <alignment vertical="center" wrapText="1" readingOrder="1"/>
      <protection locked="0"/>
    </xf>
    <xf numFmtId="0" fontId="9" fillId="2" borderId="3" xfId="1" applyFont="1" applyFill="1" applyBorder="1" applyAlignment="1" applyProtection="1">
      <alignment vertical="center" wrapText="1" readingOrder="1"/>
      <protection locked="0"/>
    </xf>
    <xf numFmtId="0" fontId="9" fillId="2" borderId="4" xfId="1" applyFont="1" applyFill="1" applyBorder="1" applyAlignment="1" applyProtection="1">
      <alignment vertical="center" wrapText="1" readingOrder="1"/>
      <protection locked="0"/>
    </xf>
    <xf numFmtId="0" fontId="10" fillId="0" borderId="3" xfId="1" applyFont="1" applyBorder="1" applyAlignment="1" applyProtection="1">
      <alignment vertical="center" wrapText="1" readingOrder="1"/>
      <protection locked="0"/>
    </xf>
    <xf numFmtId="0" fontId="9" fillId="3" borderId="2" xfId="1" applyFont="1" applyFill="1" applyBorder="1" applyAlignment="1" applyProtection="1">
      <alignment vertical="center" wrapText="1" readingOrder="1"/>
      <protection locked="0"/>
    </xf>
    <xf numFmtId="0" fontId="9" fillId="3" borderId="3" xfId="1" applyFont="1" applyFill="1" applyBorder="1" applyAlignment="1" applyProtection="1">
      <alignment vertical="center" wrapText="1" readingOrder="1"/>
      <protection locked="0"/>
    </xf>
    <xf numFmtId="0" fontId="9" fillId="3" borderId="4" xfId="1" applyFont="1" applyFill="1" applyBorder="1" applyAlignment="1" applyProtection="1">
      <alignment vertical="center" wrapText="1" readingOrder="1"/>
      <protection locked="0"/>
    </xf>
    <xf numFmtId="0" fontId="9" fillId="6" borderId="2" xfId="1" applyFont="1" applyFill="1" applyBorder="1" applyAlignment="1" applyProtection="1">
      <alignment vertical="center" wrapText="1" readingOrder="1"/>
      <protection locked="0"/>
    </xf>
    <xf numFmtId="0" fontId="9" fillId="6" borderId="3" xfId="1" applyFont="1" applyFill="1" applyBorder="1" applyAlignment="1" applyProtection="1">
      <alignment vertical="center" wrapText="1" readingOrder="1"/>
      <protection locked="0"/>
    </xf>
    <xf numFmtId="0" fontId="9" fillId="6" borderId="4" xfId="1" applyFont="1" applyFill="1" applyBorder="1" applyAlignment="1" applyProtection="1">
      <alignment vertical="center" wrapText="1" readingOrder="1"/>
      <protection locked="0"/>
    </xf>
    <xf numFmtId="0" fontId="9" fillId="5" borderId="2" xfId="1" applyFont="1" applyFill="1" applyBorder="1" applyAlignment="1" applyProtection="1">
      <alignment vertical="center" wrapText="1" readingOrder="1"/>
      <protection locked="0"/>
    </xf>
    <xf numFmtId="0" fontId="9" fillId="5" borderId="3" xfId="1" applyFont="1" applyFill="1" applyBorder="1" applyAlignment="1" applyProtection="1">
      <alignment vertical="center" wrapText="1" readingOrder="1"/>
      <protection locked="0"/>
    </xf>
    <xf numFmtId="0" fontId="9" fillId="5" borderId="4" xfId="1" applyFont="1" applyFill="1" applyBorder="1" applyAlignment="1" applyProtection="1">
      <alignment vertical="center" wrapText="1" readingOrder="1"/>
      <protection locked="0"/>
    </xf>
    <xf numFmtId="0" fontId="9" fillId="4" borderId="2" xfId="1" applyFont="1" applyFill="1" applyBorder="1" applyAlignment="1" applyProtection="1">
      <alignment vertical="center" wrapText="1" readingOrder="1"/>
      <protection locked="0"/>
    </xf>
    <xf numFmtId="0" fontId="9" fillId="4" borderId="3" xfId="1" applyFont="1" applyFill="1" applyBorder="1" applyAlignment="1" applyProtection="1">
      <alignment vertical="center" wrapText="1" readingOrder="1"/>
      <protection locked="0"/>
    </xf>
    <xf numFmtId="0" fontId="9" fillId="4" borderId="4" xfId="1" applyFont="1" applyFill="1" applyBorder="1" applyAlignment="1" applyProtection="1">
      <alignment vertical="center" wrapText="1" readingOrder="1"/>
      <protection locked="0"/>
    </xf>
    <xf numFmtId="0" fontId="5" fillId="7" borderId="2" xfId="0" applyFont="1" applyFill="1" applyBorder="1" applyAlignment="1"/>
    <xf numFmtId="0" fontId="6" fillId="0" borderId="18" xfId="0" applyFont="1" applyBorder="1" applyAlignment="1">
      <alignment horizontal="center" vertical="center"/>
    </xf>
    <xf numFmtId="0" fontId="0" fillId="0" borderId="0" xfId="0"/>
    <xf numFmtId="0" fontId="12" fillId="1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indent="1"/>
    </xf>
    <xf numFmtId="0" fontId="0" fillId="0" borderId="10" xfId="0" applyBorder="1" applyAlignment="1">
      <alignment horizontal="center" vertical="center"/>
    </xf>
    <xf numFmtId="0" fontId="12" fillId="10" borderId="2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center"/>
    </xf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13" fillId="10" borderId="1" xfId="0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vertical="top" wrapText="1" readingOrder="1"/>
      <protection locked="0"/>
    </xf>
    <xf numFmtId="0" fontId="13" fillId="1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10" xfId="1" applyFont="1" applyBorder="1" applyAlignment="1" applyProtection="1">
      <alignment horizontal="center" vertical="center" wrapText="1" readingOrder="1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1"/>
    <xf numFmtId="0" fontId="0" fillId="0" borderId="0" xfId="0"/>
    <xf numFmtId="165" fontId="4" fillId="0" borderId="0" xfId="4" applyNumberFormat="1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4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left" vertical="top" wrapText="1" readingOrder="1"/>
      <protection locked="0"/>
    </xf>
    <xf numFmtId="0" fontId="4" fillId="0" borderId="0" xfId="4" applyFont="1" applyAlignment="1" applyProtection="1">
      <alignment horizontal="center" vertical="top" wrapText="1" readingOrder="1"/>
      <protection locked="0"/>
    </xf>
    <xf numFmtId="164" fontId="4" fillId="0" borderId="0" xfId="4" applyNumberFormat="1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164" fontId="4" fillId="0" borderId="0" xfId="0" applyNumberFormat="1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7" borderId="3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left"/>
    </xf>
    <xf numFmtId="0" fontId="2" fillId="7" borderId="2" xfId="0" applyFont="1" applyFill="1" applyBorder="1" applyAlignment="1"/>
    <xf numFmtId="0" fontId="25" fillId="0" borderId="0" xfId="6"/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horizontal="center" vertical="top" wrapText="1" readingOrder="1"/>
      <protection locked="0"/>
    </xf>
    <xf numFmtId="164" fontId="26" fillId="0" borderId="0" xfId="6" applyNumberFormat="1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right" vertical="top" wrapText="1" readingOrder="1"/>
      <protection locked="0"/>
    </xf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horizontal="center" vertical="top" wrapText="1" readingOrder="1"/>
      <protection locked="0"/>
    </xf>
    <xf numFmtId="164" fontId="26" fillId="0" borderId="0" xfId="6" applyNumberFormat="1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right" vertical="top" wrapText="1" readingOrder="1"/>
      <protection locked="0"/>
    </xf>
    <xf numFmtId="0" fontId="4" fillId="0" borderId="0" xfId="6" applyFont="1" applyAlignment="1" applyProtection="1">
      <alignment horizontal="left" vertical="top" wrapText="1" readingOrder="1"/>
      <protection locked="0"/>
    </xf>
    <xf numFmtId="0" fontId="0" fillId="0" borderId="0" xfId="0" applyAlignment="1"/>
    <xf numFmtId="0" fontId="2" fillId="12" borderId="4" xfId="3" applyFont="1" applyFill="1" applyBorder="1" applyAlignment="1">
      <alignment horizontal="center"/>
    </xf>
    <xf numFmtId="0" fontId="16" fillId="11" borderId="0" xfId="3" applyFill="1" applyAlignment="1">
      <alignment horizontal="center"/>
    </xf>
    <xf numFmtId="0" fontId="3" fillId="8" borderId="0" xfId="1" applyFill="1" applyAlignment="1">
      <alignment horizontal="center"/>
    </xf>
    <xf numFmtId="0" fontId="27" fillId="20" borderId="24" xfId="0" applyFont="1" applyFill="1" applyBorder="1" applyAlignment="1">
      <alignment vertical="center"/>
    </xf>
    <xf numFmtId="0" fontId="24" fillId="20" borderId="24" xfId="5" applyFill="1" applyBorder="1" applyAlignment="1">
      <alignment vertical="center"/>
    </xf>
    <xf numFmtId="0" fontId="28" fillId="20" borderId="24" xfId="0" applyFont="1" applyFill="1" applyBorder="1" applyAlignment="1">
      <alignment vertical="center"/>
    </xf>
    <xf numFmtId="0" fontId="0" fillId="20" borderId="28" xfId="0" applyFill="1" applyBorder="1" applyAlignment="1"/>
    <xf numFmtId="0" fontId="4" fillId="0" borderId="0" xfId="6" applyFont="1" applyAlignment="1" applyProtection="1">
      <alignment vertical="top" wrapText="1" readingOrder="1"/>
      <protection locked="0"/>
    </xf>
    <xf numFmtId="0" fontId="5" fillId="7" borderId="2" xfId="0" applyFont="1" applyFill="1" applyBorder="1" applyAlignment="1">
      <alignment horizontal="left"/>
    </xf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26" fillId="0" borderId="0" xfId="0" applyFont="1" applyAlignment="1" applyProtection="1">
      <alignment horizontal="center" vertical="top" wrapText="1" readingOrder="1"/>
      <protection locked="0"/>
    </xf>
    <xf numFmtId="164" fontId="26" fillId="0" borderId="0" xfId="0" applyNumberFormat="1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right" vertical="top" wrapText="1" readingOrder="1"/>
      <protection locked="0"/>
    </xf>
    <xf numFmtId="0" fontId="3" fillId="21" borderId="0" xfId="1" applyFill="1"/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/>
    </xf>
    <xf numFmtId="0" fontId="5" fillId="13" borderId="16" xfId="3" applyFont="1" applyFill="1" applyBorder="1" applyAlignment="1">
      <alignment horizontal="left" vertical="center"/>
    </xf>
    <xf numFmtId="0" fontId="5" fillId="13" borderId="16" xfId="3" applyFont="1" applyFill="1" applyBorder="1" applyAlignment="1">
      <alignment horizontal="center" vertical="center"/>
    </xf>
    <xf numFmtId="0" fontId="3" fillId="18" borderId="22" xfId="1" applyFill="1" applyBorder="1" applyAlignment="1">
      <alignment horizontal="center"/>
    </xf>
    <xf numFmtId="0" fontId="19" fillId="18" borderId="22" xfId="1" applyFont="1" applyFill="1" applyBorder="1" applyAlignment="1">
      <alignment horizontal="center"/>
    </xf>
    <xf numFmtId="0" fontId="3" fillId="18" borderId="22" xfId="1" applyFill="1" applyBorder="1"/>
    <xf numFmtId="0" fontId="2" fillId="18" borderId="1" xfId="3" applyFont="1" applyFill="1" applyBorder="1" applyAlignment="1">
      <alignment horizontal="left" indent="1"/>
    </xf>
    <xf numFmtId="0" fontId="2" fillId="18" borderId="22" xfId="3" applyFont="1" applyFill="1" applyBorder="1" applyAlignment="1">
      <alignment horizontal="left" indent="1"/>
    </xf>
    <xf numFmtId="0" fontId="15" fillId="18" borderId="22" xfId="1" applyFont="1" applyFill="1" applyBorder="1"/>
    <xf numFmtId="0" fontId="3" fillId="0" borderId="0" xfId="1" applyAlignment="1"/>
    <xf numFmtId="0" fontId="3" fillId="0" borderId="0" xfId="1" applyBorder="1" applyAlignment="1"/>
    <xf numFmtId="0" fontId="5" fillId="2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1" readingOrder="1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/>
    <xf numFmtId="0" fontId="5" fillId="7" borderId="2" xfId="0" applyNumberFormat="1" applyFont="1" applyFill="1" applyBorder="1" applyAlignment="1"/>
    <xf numFmtId="0" fontId="5" fillId="7" borderId="3" xfId="0" applyNumberFormat="1" applyFont="1" applyFill="1" applyBorder="1" applyAlignment="1"/>
    <xf numFmtId="0" fontId="5" fillId="7" borderId="4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20" xfId="0" applyNumberFormat="1" applyFont="1" applyBorder="1" applyAlignment="1"/>
    <xf numFmtId="0" fontId="5" fillId="2" borderId="9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5" fillId="0" borderId="8" xfId="0" applyNumberFormat="1" applyFont="1" applyBorder="1" applyAlignment="1"/>
    <xf numFmtId="0" fontId="5" fillId="0" borderId="5" xfId="0" applyNumberFormat="1" applyFont="1" applyBorder="1" applyAlignment="1"/>
    <xf numFmtId="0" fontId="5" fillId="2" borderId="1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2" fillId="10" borderId="2" xfId="0" applyNumberFormat="1" applyFont="1" applyFill="1" applyBorder="1" applyAlignment="1">
      <alignment vertical="center"/>
    </xf>
    <xf numFmtId="0" fontId="12" fillId="10" borderId="4" xfId="0" applyNumberFormat="1" applyFont="1" applyFill="1" applyBorder="1" applyAlignment="1">
      <alignment vertical="center"/>
    </xf>
    <xf numFmtId="0" fontId="13" fillId="10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7" borderId="2" xfId="1" applyFont="1" applyFill="1" applyBorder="1" applyAlignment="1" applyProtection="1">
      <alignment horizontal="center" vertical="center" readingOrder="1"/>
      <protection locked="0"/>
    </xf>
    <xf numFmtId="0" fontId="8" fillId="7" borderId="3" xfId="1" applyFont="1" applyFill="1" applyBorder="1" applyAlignment="1" applyProtection="1">
      <alignment horizontal="center" vertical="center" readingOrder="1"/>
      <protection locked="0"/>
    </xf>
    <xf numFmtId="0" fontId="8" fillId="7" borderId="4" xfId="1" applyFont="1" applyFill="1" applyBorder="1" applyAlignment="1" applyProtection="1">
      <alignment horizontal="center" vertical="center" readingOrder="1"/>
      <protection locked="0"/>
    </xf>
    <xf numFmtId="0" fontId="8" fillId="0" borderId="6" xfId="1" applyFont="1" applyBorder="1" applyAlignment="1" applyProtection="1">
      <alignment horizontal="center" vertical="center" readingOrder="1"/>
      <protection locked="0"/>
    </xf>
    <xf numFmtId="0" fontId="8" fillId="0" borderId="3" xfId="1" applyFont="1" applyBorder="1" applyAlignment="1" applyProtection="1">
      <alignment horizontal="center" vertical="center" readingOrder="1"/>
      <protection locked="0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1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right"/>
    </xf>
    <xf numFmtId="0" fontId="5" fillId="7" borderId="3" xfId="0" applyFont="1" applyFill="1" applyBorder="1" applyAlignment="1">
      <alignment horizontal="right"/>
    </xf>
    <xf numFmtId="0" fontId="5" fillId="6" borderId="1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3" fillId="18" borderId="2" xfId="1" applyFont="1" applyFill="1" applyBorder="1" applyAlignment="1">
      <alignment horizontal="center" vertical="center"/>
    </xf>
    <xf numFmtId="0" fontId="23" fillId="18" borderId="3" xfId="1" applyFont="1" applyFill="1" applyBorder="1" applyAlignment="1">
      <alignment horizontal="center" vertical="center"/>
    </xf>
    <xf numFmtId="0" fontId="23" fillId="18" borderId="4" xfId="1" applyFont="1" applyFill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7" fillId="20" borderId="25" xfId="0" applyFont="1" applyFill="1" applyBorder="1" applyAlignment="1">
      <alignment vertical="center"/>
    </xf>
    <xf numFmtId="0" fontId="27" fillId="20" borderId="26" xfId="0" applyFont="1" applyFill="1" applyBorder="1" applyAlignment="1">
      <alignment vertical="center"/>
    </xf>
    <xf numFmtId="0" fontId="27" fillId="20" borderId="27" xfId="0" applyFont="1" applyFill="1" applyBorder="1" applyAlignment="1">
      <alignment vertical="center"/>
    </xf>
    <xf numFmtId="0" fontId="24" fillId="20" borderId="25" xfId="5" applyFill="1" applyBorder="1" applyAlignment="1">
      <alignment vertical="center"/>
    </xf>
    <xf numFmtId="0" fontId="24" fillId="20" borderId="26" xfId="5" applyFill="1" applyBorder="1" applyAlignment="1">
      <alignment vertical="center"/>
    </xf>
    <xf numFmtId="0" fontId="24" fillId="20" borderId="27" xfId="5" applyFill="1" applyBorder="1" applyAlignment="1">
      <alignment vertical="center"/>
    </xf>
    <xf numFmtId="0" fontId="2" fillId="11" borderId="2" xfId="0" applyFont="1" applyFill="1" applyBorder="1" applyAlignment="1">
      <alignment horizontal="left" indent="1"/>
    </xf>
    <xf numFmtId="0" fontId="0" fillId="0" borderId="6" xfId="0" applyBorder="1" applyAlignment="1">
      <alignment horizontal="center" vertical="center"/>
    </xf>
    <xf numFmtId="0" fontId="2" fillId="11" borderId="7" xfId="0" applyFont="1" applyFill="1" applyBorder="1" applyAlignment="1">
      <alignment horizontal="left" indent="1"/>
    </xf>
    <xf numFmtId="0" fontId="0" fillId="11" borderId="3" xfId="0" applyFill="1" applyBorder="1" applyAlignment="1">
      <alignment horizontal="center" vertical="center"/>
    </xf>
  </cellXfs>
  <cellStyles count="8">
    <cellStyle name="Hyperlink" xfId="5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EEDBE"/>
      <color rgb="FFFFDB69"/>
      <color rgb="FFFFFFC1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rivals%20Report%20August%202017%20Text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Regions"/>
      <sheetName val="Rpt Counties"/>
      <sheetName val="Rpt Countries"/>
      <sheetName val="Rpt R1"/>
      <sheetName val="Rpt R1 VOLAG by Cntry"/>
      <sheetName val="Rpt R2"/>
      <sheetName val="Rpt R2 Hbrg"/>
      <sheetName val="Rpt R2 Lncstr"/>
      <sheetName val="Rpt R3"/>
      <sheetName val="Rpt R3 Volag by Cntry"/>
      <sheetName val="Rpt R4"/>
      <sheetName val="Rpt R4 Allntwn"/>
      <sheetName val="Rpt R4 Scrntn"/>
      <sheetName val="Rpt R5"/>
      <sheetName val="Rpt R5 VOLAG by Cntry"/>
      <sheetName val="Rpt VOLAG City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R6" t="str">
            <v>ALLEGHENY</v>
          </cell>
        </row>
        <row r="7">
          <cell r="R7" t="str">
            <v>BEAVER</v>
          </cell>
          <cell r="AF7" t="str">
            <v>AFGHANISTAN</v>
          </cell>
          <cell r="AG7" t="str">
            <v>AF</v>
          </cell>
        </row>
        <row r="8">
          <cell r="R8" t="str">
            <v>INDIANA</v>
          </cell>
          <cell r="AF8" t="str">
            <v>ARMENIA</v>
          </cell>
          <cell r="AG8" t="str">
            <v>AM</v>
          </cell>
        </row>
        <row r="9">
          <cell r="R9" t="str">
            <v>WASHINGTON</v>
          </cell>
          <cell r="AF9" t="str">
            <v>BELARUS</v>
          </cell>
          <cell r="AG9" t="str">
            <v>BO</v>
          </cell>
        </row>
        <row r="10">
          <cell r="AF10" t="str">
            <v>BURMA</v>
          </cell>
          <cell r="AG10" t="str">
            <v>BM</v>
          </cell>
        </row>
        <row r="11">
          <cell r="AF11" t="str">
            <v>BHUTAN</v>
          </cell>
          <cell r="AG11" t="str">
            <v>BT</v>
          </cell>
        </row>
        <row r="12">
          <cell r="R12" t="str">
            <v>ADAMS</v>
          </cell>
          <cell r="AF12" t="str">
            <v>BURUNDI</v>
          </cell>
          <cell r="AG12" t="str">
            <v>BY</v>
          </cell>
        </row>
        <row r="13">
          <cell r="R13" t="str">
            <v>DAUPHIN</v>
          </cell>
          <cell r="AF13" t="str">
            <v>CAMEROUN</v>
          </cell>
          <cell r="AG13" t="str">
            <v>CM</v>
          </cell>
        </row>
        <row r="14">
          <cell r="R14" t="str">
            <v>CENTRE</v>
          </cell>
          <cell r="AF14" t="str">
            <v>CENTRAL AFR REP</v>
          </cell>
          <cell r="AG14" t="str">
            <v>CT</v>
          </cell>
        </row>
        <row r="15">
          <cell r="R15" t="str">
            <v>CUMBERLAND</v>
          </cell>
          <cell r="AF15" t="str">
            <v>CHINA</v>
          </cell>
          <cell r="AG15" t="str">
            <v>CH</v>
          </cell>
        </row>
        <row r="16">
          <cell r="R16" t="str">
            <v>FRANKLIN</v>
          </cell>
          <cell r="AF16" t="str">
            <v>DEM REP OF CONGO</v>
          </cell>
          <cell r="AG16" t="str">
            <v>CG</v>
          </cell>
        </row>
        <row r="17">
          <cell r="R17" t="str">
            <v>LANCASTER</v>
          </cell>
          <cell r="AF17" t="str">
            <v>COLUMBIA</v>
          </cell>
          <cell r="AG17" t="str">
            <v>CO</v>
          </cell>
        </row>
        <row r="18">
          <cell r="R18" t="str">
            <v>LEBANON</v>
          </cell>
          <cell r="AF18" t="str">
            <v>CONGO</v>
          </cell>
          <cell r="AG18" t="str">
            <v>CF</v>
          </cell>
        </row>
        <row r="19">
          <cell r="R19" t="str">
            <v>UNION</v>
          </cell>
          <cell r="AF19" t="str">
            <v>CUBA</v>
          </cell>
          <cell r="AG19" t="str">
            <v>CU</v>
          </cell>
        </row>
        <row r="20">
          <cell r="R20" t="str">
            <v>YORK</v>
          </cell>
          <cell r="AF20" t="str">
            <v>CUBAN ENTRANT</v>
          </cell>
          <cell r="AG20" t="str">
            <v>CUE</v>
          </cell>
        </row>
        <row r="21">
          <cell r="AF21" t="str">
            <v>ECUADOR</v>
          </cell>
          <cell r="AG21" t="str">
            <v>EC</v>
          </cell>
        </row>
        <row r="22">
          <cell r="AF22" t="str">
            <v>EGYPT</v>
          </cell>
          <cell r="AG22" t="str">
            <v>EG</v>
          </cell>
        </row>
        <row r="23">
          <cell r="R23" t="str">
            <v>BERKS</v>
          </cell>
          <cell r="AF23" t="str">
            <v>ERITREA</v>
          </cell>
          <cell r="AG23" t="str">
            <v>ER</v>
          </cell>
        </row>
        <row r="24">
          <cell r="R24" t="str">
            <v>BUCKS</v>
          </cell>
          <cell r="AF24" t="str">
            <v>ETHIOPIA</v>
          </cell>
          <cell r="AG24" t="str">
            <v>ET</v>
          </cell>
        </row>
        <row r="25">
          <cell r="R25" t="str">
            <v>CHESTER</v>
          </cell>
          <cell r="AF25" t="str">
            <v>FRANCE</v>
          </cell>
          <cell r="AG25" t="str">
            <v>FR</v>
          </cell>
        </row>
        <row r="26">
          <cell r="R26" t="str">
            <v>DELAWARE</v>
          </cell>
          <cell r="AF26" t="str">
            <v>GUINEA</v>
          </cell>
          <cell r="AG26" t="str">
            <v>GV</v>
          </cell>
        </row>
        <row r="27">
          <cell r="R27" t="str">
            <v>MONTGOMERY</v>
          </cell>
          <cell r="AF27" t="str">
            <v>HAITI</v>
          </cell>
          <cell r="AG27" t="str">
            <v>HA</v>
          </cell>
        </row>
        <row r="28">
          <cell r="R28" t="str">
            <v>PHILADELPHIA</v>
          </cell>
          <cell r="AF28" t="str">
            <v>INDIA</v>
          </cell>
          <cell r="AG28" t="str">
            <v>IN</v>
          </cell>
        </row>
        <row r="29">
          <cell r="AF29" t="str">
            <v>INDONESIA</v>
          </cell>
          <cell r="AG29" t="str">
            <v>ID</v>
          </cell>
        </row>
        <row r="30">
          <cell r="AF30" t="str">
            <v>IRAN</v>
          </cell>
          <cell r="AG30" t="str">
            <v>IR</v>
          </cell>
        </row>
        <row r="31">
          <cell r="R31" t="str">
            <v>NORTHAMPTON</v>
          </cell>
          <cell r="AF31" t="str">
            <v>IRAQ</v>
          </cell>
          <cell r="AG31" t="str">
            <v>IZ</v>
          </cell>
        </row>
        <row r="32">
          <cell r="R32" t="str">
            <v>LACKAWANNA</v>
          </cell>
          <cell r="AF32" t="str">
            <v>IVORY COAST</v>
          </cell>
          <cell r="AG32" t="str">
            <v>IV</v>
          </cell>
        </row>
        <row r="33">
          <cell r="R33" t="str">
            <v>LEHIGH</v>
          </cell>
          <cell r="AF33" t="str">
            <v>JORDAN</v>
          </cell>
          <cell r="AG33" t="str">
            <v>JO</v>
          </cell>
        </row>
        <row r="34">
          <cell r="R34" t="str">
            <v>LYCOMING</v>
          </cell>
          <cell r="AF34" t="str">
            <v>KAZAKHSTAN</v>
          </cell>
          <cell r="AG34" t="str">
            <v>KZ</v>
          </cell>
        </row>
        <row r="35">
          <cell r="R35" t="str">
            <v>LUZERNE</v>
          </cell>
          <cell r="AF35" t="str">
            <v>KENYA</v>
          </cell>
          <cell r="AG35" t="str">
            <v>KE</v>
          </cell>
        </row>
        <row r="36">
          <cell r="AF36" t="str">
            <v>LEBANON</v>
          </cell>
          <cell r="AG36" t="str">
            <v>LE</v>
          </cell>
        </row>
        <row r="37">
          <cell r="AF37" t="str">
            <v>LIBERIA</v>
          </cell>
          <cell r="AG37" t="str">
            <v>LI</v>
          </cell>
        </row>
        <row r="38">
          <cell r="R38" t="str">
            <v>ERIE</v>
          </cell>
          <cell r="AF38" t="str">
            <v>LIBYA</v>
          </cell>
          <cell r="AG38" t="str">
            <v>LY</v>
          </cell>
        </row>
        <row r="39">
          <cell r="AF39" t="str">
            <v>MOLDOVA</v>
          </cell>
          <cell r="AG39" t="str">
            <v>MD</v>
          </cell>
        </row>
        <row r="40">
          <cell r="AF40" t="str">
            <v>MALI</v>
          </cell>
          <cell r="AG40" t="str">
            <v>ML</v>
          </cell>
        </row>
        <row r="41">
          <cell r="AF41" t="str">
            <v>MALAYSIA</v>
          </cell>
          <cell r="AG41" t="str">
            <v>MY</v>
          </cell>
        </row>
        <row r="42">
          <cell r="AF42" t="str">
            <v>NAMIBIA</v>
          </cell>
          <cell r="AG42" t="str">
            <v>WA</v>
          </cell>
        </row>
        <row r="43">
          <cell r="AF43" t="str">
            <v>NEPAL</v>
          </cell>
          <cell r="AG43" t="str">
            <v>NP</v>
          </cell>
        </row>
        <row r="44">
          <cell r="AF44" t="str">
            <v>NIGERIA</v>
          </cell>
          <cell r="AG44" t="str">
            <v>NI</v>
          </cell>
        </row>
        <row r="45">
          <cell r="AF45" t="str">
            <v>PAKISTAN</v>
          </cell>
          <cell r="AG45" t="str">
            <v>PK</v>
          </cell>
        </row>
        <row r="46">
          <cell r="AF46" t="str">
            <v>PITCAIRN ISLANDS</v>
          </cell>
          <cell r="AG46" t="str">
            <v>PN</v>
          </cell>
        </row>
        <row r="47">
          <cell r="AF47" t="str">
            <v>RWANDA</v>
          </cell>
          <cell r="AG47" t="str">
            <v>RW</v>
          </cell>
        </row>
        <row r="48">
          <cell r="AF48" t="str">
            <v>RUSSIA</v>
          </cell>
          <cell r="AG48" t="str">
            <v>RS</v>
          </cell>
        </row>
        <row r="49">
          <cell r="AF49" t="str">
            <v>SIERRA LEON</v>
          </cell>
          <cell r="AG49" t="str">
            <v>SL</v>
          </cell>
        </row>
        <row r="50">
          <cell r="AF50" t="str">
            <v>SOMALIA</v>
          </cell>
          <cell r="AG50" t="str">
            <v>SO</v>
          </cell>
        </row>
        <row r="51">
          <cell r="AF51" t="str">
            <v>SPAIN</v>
          </cell>
          <cell r="AG51" t="str">
            <v>ES</v>
          </cell>
        </row>
        <row r="52">
          <cell r="AF52" t="str">
            <v>SOUTH SUDAN</v>
          </cell>
          <cell r="AG52" t="str">
            <v>SS</v>
          </cell>
        </row>
        <row r="53">
          <cell r="AF53" t="str">
            <v>SRI LANKA</v>
          </cell>
          <cell r="AG53" t="str">
            <v>CE</v>
          </cell>
        </row>
        <row r="54">
          <cell r="AF54" t="str">
            <v>SUDAN</v>
          </cell>
          <cell r="AG54" t="str">
            <v>SU</v>
          </cell>
        </row>
        <row r="55">
          <cell r="AF55" t="str">
            <v>SYRIA</v>
          </cell>
          <cell r="AG55" t="str">
            <v>SY</v>
          </cell>
        </row>
        <row r="56">
          <cell r="AF56" t="str">
            <v>TAJIKISTAN</v>
          </cell>
          <cell r="AG56" t="str">
            <v>TI</v>
          </cell>
        </row>
        <row r="57">
          <cell r="AF57" t="str">
            <v>TANZANIA</v>
          </cell>
          <cell r="AG57" t="str">
            <v>TZ</v>
          </cell>
        </row>
        <row r="58">
          <cell r="AF58" t="str">
            <v>THAILAND</v>
          </cell>
          <cell r="AG58" t="str">
            <v>TH</v>
          </cell>
        </row>
        <row r="59">
          <cell r="AF59" t="str">
            <v>UGANDA</v>
          </cell>
          <cell r="AG59" t="str">
            <v>UG</v>
          </cell>
        </row>
        <row r="60">
          <cell r="AF60" t="str">
            <v>UKRAINE</v>
          </cell>
          <cell r="AG60" t="str">
            <v>UP</v>
          </cell>
        </row>
        <row r="61">
          <cell r="AF61" t="str">
            <v>UZBEKISTAN</v>
          </cell>
          <cell r="AG61" t="str">
            <v>UZ</v>
          </cell>
        </row>
        <row r="62">
          <cell r="AF62" t="str">
            <v>VIETNAM</v>
          </cell>
          <cell r="AG62" t="str">
            <v>VM</v>
          </cell>
        </row>
        <row r="63">
          <cell r="AF63" t="str">
            <v>ZAMBIA</v>
          </cell>
          <cell r="AG63" t="str">
            <v>ZA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Jan_Mayen_Island" TargetMode="External"/><Relationship Id="rId21" Type="http://schemas.openxmlformats.org/officeDocument/2006/relationships/hyperlink" Target="https://en.wikipedia.org/wiki/Belgium" TargetMode="External"/><Relationship Id="rId42" Type="http://schemas.openxmlformats.org/officeDocument/2006/relationships/hyperlink" Target="https://en.wikipedia.org/wiki/Democratic_Republic_of_the_Congo" TargetMode="External"/><Relationship Id="rId63" Type="http://schemas.openxmlformats.org/officeDocument/2006/relationships/hyperlink" Target="https://en.wikipedia.org/wiki/Ecuador" TargetMode="External"/><Relationship Id="rId84" Type="http://schemas.openxmlformats.org/officeDocument/2006/relationships/hyperlink" Target="https://en.wikipedia.org/wiki/Gabon" TargetMode="External"/><Relationship Id="rId138" Type="http://schemas.openxmlformats.org/officeDocument/2006/relationships/hyperlink" Target="https://en.wikipedia.org/wiki/Madagascar" TargetMode="External"/><Relationship Id="rId159" Type="http://schemas.openxmlformats.org/officeDocument/2006/relationships/hyperlink" Target="https://en.wikipedia.org/wiki/Niue" TargetMode="External"/><Relationship Id="rId170" Type="http://schemas.openxmlformats.org/officeDocument/2006/relationships/hyperlink" Target="https://en.wikipedia.org/wiki/Nicaragua" TargetMode="External"/><Relationship Id="rId191" Type="http://schemas.openxmlformats.org/officeDocument/2006/relationships/hyperlink" Target="https://en.wikipedia.org/wiki/Russia" TargetMode="External"/><Relationship Id="rId205" Type="http://schemas.openxmlformats.org/officeDocument/2006/relationships/hyperlink" Target="https://en.wikipedia.org/wiki/Somalia" TargetMode="External"/><Relationship Id="rId226" Type="http://schemas.openxmlformats.org/officeDocument/2006/relationships/hyperlink" Target="https://en.wikipedia.org/wiki/Tunisia" TargetMode="External"/><Relationship Id="rId247" Type="http://schemas.openxmlformats.org/officeDocument/2006/relationships/hyperlink" Target="https://en.wikipedia.org/wiki/Wallis_and_Futuna_Islands" TargetMode="External"/><Relationship Id="rId107" Type="http://schemas.openxmlformats.org/officeDocument/2006/relationships/hyperlink" Target="https://en.wikipedia.org/wiki/India" TargetMode="External"/><Relationship Id="rId11" Type="http://schemas.openxmlformats.org/officeDocument/2006/relationships/hyperlink" Target="https://en.wikipedia.org/wiki/Argentina" TargetMode="External"/><Relationship Id="rId32" Type="http://schemas.openxmlformats.org/officeDocument/2006/relationships/hyperlink" Target="https://en.wikipedia.org/wiki/Bhutan" TargetMode="External"/><Relationship Id="rId53" Type="http://schemas.openxmlformats.org/officeDocument/2006/relationships/hyperlink" Target="https://en.wikipedia.org/wiki/Central_African_Republic" TargetMode="External"/><Relationship Id="rId74" Type="http://schemas.openxmlformats.org/officeDocument/2006/relationships/hyperlink" Target="https://en.wikipedia.org/wiki/Finland" TargetMode="External"/><Relationship Id="rId128" Type="http://schemas.openxmlformats.org/officeDocument/2006/relationships/hyperlink" Target="https://en.wikipedia.org/wiki/Lao_People%27s_Democratic_Republic" TargetMode="External"/><Relationship Id="rId149" Type="http://schemas.openxmlformats.org/officeDocument/2006/relationships/hyperlink" Target="https://en.wikipedia.org/wiki/Mauritius" TargetMode="External"/><Relationship Id="rId5" Type="http://schemas.openxmlformats.org/officeDocument/2006/relationships/hyperlink" Target="https://en.wikipedia.org/wiki/Algeria" TargetMode="External"/><Relationship Id="rId95" Type="http://schemas.openxmlformats.org/officeDocument/2006/relationships/hyperlink" Target="https://en.wikipedia.org/wiki/Guatemala" TargetMode="External"/><Relationship Id="rId160" Type="http://schemas.openxmlformats.org/officeDocument/2006/relationships/hyperlink" Target="https://en.wikipedia.org/wiki/Norfolk_Island" TargetMode="External"/><Relationship Id="rId181" Type="http://schemas.openxmlformats.org/officeDocument/2006/relationships/hyperlink" Target="https://en.wikipedia.org/wiki/Palau" TargetMode="External"/><Relationship Id="rId216" Type="http://schemas.openxmlformats.org/officeDocument/2006/relationships/hyperlink" Target="https://en.wikipedia.org/wiki/United_Arab_Emirates" TargetMode="External"/><Relationship Id="rId237" Type="http://schemas.openxmlformats.org/officeDocument/2006/relationships/hyperlink" Target="https://en.wikipedia.org/wiki/Burkina_Faso" TargetMode="External"/><Relationship Id="rId258" Type="http://schemas.openxmlformats.org/officeDocument/2006/relationships/printerSettings" Target="../printerSettings/printerSettings9.bin"/><Relationship Id="rId22" Type="http://schemas.openxmlformats.org/officeDocument/2006/relationships/hyperlink" Target="https://en.wikipedia.org/wiki/Bahamas" TargetMode="External"/><Relationship Id="rId43" Type="http://schemas.openxmlformats.org/officeDocument/2006/relationships/hyperlink" Target="https://en.wikipedia.org/wiki/People%27s_Republic_of_China" TargetMode="External"/><Relationship Id="rId64" Type="http://schemas.openxmlformats.org/officeDocument/2006/relationships/hyperlink" Target="https://en.wikipedia.org/wiki/Europe" TargetMode="External"/><Relationship Id="rId118" Type="http://schemas.openxmlformats.org/officeDocument/2006/relationships/hyperlink" Target="https://en.wikipedia.org/wiki/Jordan" TargetMode="External"/><Relationship Id="rId139" Type="http://schemas.openxmlformats.org/officeDocument/2006/relationships/hyperlink" Target="https://en.wikipedia.org/wiki/Martinique" TargetMode="External"/><Relationship Id="rId85" Type="http://schemas.openxmlformats.org/officeDocument/2006/relationships/hyperlink" Target="https://en.wikipedia.org/wiki/East_Germany" TargetMode="External"/><Relationship Id="rId150" Type="http://schemas.openxmlformats.org/officeDocument/2006/relationships/hyperlink" Target="https://en.wikipedia.org/wiki/Mauritania" TargetMode="External"/><Relationship Id="rId171" Type="http://schemas.openxmlformats.org/officeDocument/2006/relationships/hyperlink" Target="https://en.wikipedia.org/wiki/New_Zealand" TargetMode="External"/><Relationship Id="rId192" Type="http://schemas.openxmlformats.org/officeDocument/2006/relationships/hyperlink" Target="https://en.wikipedia.org/wiki/Rwanda" TargetMode="External"/><Relationship Id="rId206" Type="http://schemas.openxmlformats.org/officeDocument/2006/relationships/hyperlink" Target="https://en.wikipedia.org/wiki/South_America" TargetMode="External"/><Relationship Id="rId227" Type="http://schemas.openxmlformats.org/officeDocument/2006/relationships/hyperlink" Target="https://en.wikipedia.org/wiki/Turkey_(country)" TargetMode="External"/><Relationship Id="rId248" Type="http://schemas.openxmlformats.org/officeDocument/2006/relationships/hyperlink" Target="https://en.wikipedia.org/wiki/Western_Sahara" TargetMode="External"/><Relationship Id="rId12" Type="http://schemas.openxmlformats.org/officeDocument/2006/relationships/hyperlink" Target="https://en.wikipedia.org/wiki/Australia" TargetMode="External"/><Relationship Id="rId33" Type="http://schemas.openxmlformats.org/officeDocument/2006/relationships/hyperlink" Target="https://en.wikipedia.org/wiki/Bulgaria" TargetMode="External"/><Relationship Id="rId108" Type="http://schemas.openxmlformats.org/officeDocument/2006/relationships/hyperlink" Target="https://en.wikipedia.org/wiki/British_Indian_Ocean_Territory" TargetMode="External"/><Relationship Id="rId129" Type="http://schemas.openxmlformats.org/officeDocument/2006/relationships/hyperlink" Target="https://en.wikipedia.org/wiki/Lebanon" TargetMode="External"/><Relationship Id="rId54" Type="http://schemas.openxmlformats.org/officeDocument/2006/relationships/hyperlink" Target="https://en.wikipedia.org/wiki/Cuba" TargetMode="External"/><Relationship Id="rId70" Type="http://schemas.openxmlformats.org/officeDocument/2006/relationships/hyperlink" Target="https://en.wikipedia.org/wiki/Spain" TargetMode="External"/><Relationship Id="rId75" Type="http://schemas.openxmlformats.org/officeDocument/2006/relationships/hyperlink" Target="https://en.wikipedia.org/wiki/Fiji" TargetMode="External"/><Relationship Id="rId91" Type="http://schemas.openxmlformats.org/officeDocument/2006/relationships/hyperlink" Target="https://en.wikipedia.org/wiki/Greenland" TargetMode="External"/><Relationship Id="rId96" Type="http://schemas.openxmlformats.org/officeDocument/2006/relationships/hyperlink" Target="https://en.wikipedia.org/wiki/Guinea" TargetMode="External"/><Relationship Id="rId140" Type="http://schemas.openxmlformats.org/officeDocument/2006/relationships/hyperlink" Target="https://en.wikipedia.org/wiki/Macau" TargetMode="External"/><Relationship Id="rId145" Type="http://schemas.openxmlformats.org/officeDocument/2006/relationships/hyperlink" Target="https://en.wikipedia.org/wiki/Malawi" TargetMode="External"/><Relationship Id="rId161" Type="http://schemas.openxmlformats.org/officeDocument/2006/relationships/hyperlink" Target="https://en.wikipedia.org/wiki/Niger" TargetMode="External"/><Relationship Id="rId166" Type="http://schemas.openxmlformats.org/officeDocument/2006/relationships/hyperlink" Target="https://en.wikipedia.org/wiki/Norway" TargetMode="External"/><Relationship Id="rId182" Type="http://schemas.openxmlformats.org/officeDocument/2006/relationships/hyperlink" Target="https://en.wikipedia.org/wiki/Palestinian_territories" TargetMode="External"/><Relationship Id="rId187" Type="http://schemas.openxmlformats.org/officeDocument/2006/relationships/hyperlink" Target="https://en.wikipedia.org/wiki/Romania" TargetMode="External"/><Relationship Id="rId217" Type="http://schemas.openxmlformats.org/officeDocument/2006/relationships/hyperlink" Target="https://en.wikipedia.org/wiki/Trinidad_and_Tobago" TargetMode="External"/><Relationship Id="rId1" Type="http://schemas.openxmlformats.org/officeDocument/2006/relationships/hyperlink" Target="https://en.wikipedia.org/wiki/Aruba" TargetMode="External"/><Relationship Id="rId6" Type="http://schemas.openxmlformats.org/officeDocument/2006/relationships/hyperlink" Target="https://en.wikipedia.org/wiki/Azerbaijan" TargetMode="External"/><Relationship Id="rId212" Type="http://schemas.openxmlformats.org/officeDocument/2006/relationships/hyperlink" Target="https://en.wikipedia.org/wiki/Sweden" TargetMode="External"/><Relationship Id="rId233" Type="http://schemas.openxmlformats.org/officeDocument/2006/relationships/hyperlink" Target="https://en.wikipedia.org/wiki/Ukraine" TargetMode="External"/><Relationship Id="rId238" Type="http://schemas.openxmlformats.org/officeDocument/2006/relationships/hyperlink" Target="https://en.wikipedia.org/wiki/Uruguay" TargetMode="External"/><Relationship Id="rId254" Type="http://schemas.openxmlformats.org/officeDocument/2006/relationships/hyperlink" Target="https://en.wikipedia.org/wiki/Mayotte" TargetMode="External"/><Relationship Id="rId23" Type="http://schemas.openxmlformats.org/officeDocument/2006/relationships/hyperlink" Target="https://en.wikipedia.org/wiki/Bangladesh" TargetMode="External"/><Relationship Id="rId28" Type="http://schemas.openxmlformats.org/officeDocument/2006/relationships/hyperlink" Target="https://en.wikipedia.org/wiki/Benin" TargetMode="External"/><Relationship Id="rId49" Type="http://schemas.openxmlformats.org/officeDocument/2006/relationships/hyperlink" Target="https://en.wikipedia.org/wiki/Colombia" TargetMode="External"/><Relationship Id="rId114" Type="http://schemas.openxmlformats.org/officeDocument/2006/relationships/hyperlink" Target="https://en.wikipedia.org/wiki/Iraq" TargetMode="External"/><Relationship Id="rId119" Type="http://schemas.openxmlformats.org/officeDocument/2006/relationships/hyperlink" Target="https://en.wikipedia.org/wiki/Johnston_Atoll" TargetMode="External"/><Relationship Id="rId44" Type="http://schemas.openxmlformats.org/officeDocument/2006/relationships/hyperlink" Target="https://en.wikipedia.org/wiki/Chile" TargetMode="External"/><Relationship Id="rId60" Type="http://schemas.openxmlformats.org/officeDocument/2006/relationships/hyperlink" Target="https://en.wikipedia.org/wiki/Djibouti" TargetMode="External"/><Relationship Id="rId65" Type="http://schemas.openxmlformats.org/officeDocument/2006/relationships/hyperlink" Target="https://en.wikipedia.org/wiki/Egypt" TargetMode="External"/><Relationship Id="rId81" Type="http://schemas.openxmlformats.org/officeDocument/2006/relationships/hyperlink" Target="https://en.wikipedia.org/wiki/French_Southern_Territories" TargetMode="External"/><Relationship Id="rId86" Type="http://schemas.openxmlformats.org/officeDocument/2006/relationships/hyperlink" Target="https://en.wikipedia.org/wiki/Germany" TargetMode="External"/><Relationship Id="rId130" Type="http://schemas.openxmlformats.org/officeDocument/2006/relationships/hyperlink" Target="https://en.wikipedia.org/wiki/Latvia" TargetMode="External"/><Relationship Id="rId135" Type="http://schemas.openxmlformats.org/officeDocument/2006/relationships/hyperlink" Target="https://en.wikipedia.org/wiki/Lesotho" TargetMode="External"/><Relationship Id="rId151" Type="http://schemas.openxmlformats.org/officeDocument/2006/relationships/hyperlink" Target="https://en.wikipedia.org/wiki/Malta" TargetMode="External"/><Relationship Id="rId156" Type="http://schemas.openxmlformats.org/officeDocument/2006/relationships/hyperlink" Target="https://en.wikipedia.org/wiki/Mozambique" TargetMode="External"/><Relationship Id="rId177" Type="http://schemas.openxmlformats.org/officeDocument/2006/relationships/hyperlink" Target="https://en.wikipedia.org/wiki/Poland" TargetMode="External"/><Relationship Id="rId198" Type="http://schemas.openxmlformats.org/officeDocument/2006/relationships/hyperlink" Target="https://en.wikipedia.org/wiki/Senegal" TargetMode="External"/><Relationship Id="rId172" Type="http://schemas.openxmlformats.org/officeDocument/2006/relationships/hyperlink" Target="https://en.wikipedia.org/wiki/Paraguay" TargetMode="External"/><Relationship Id="rId193" Type="http://schemas.openxmlformats.org/officeDocument/2006/relationships/hyperlink" Target="https://en.wikipedia.org/wiki/Saudi_Arabia" TargetMode="External"/><Relationship Id="rId202" Type="http://schemas.openxmlformats.org/officeDocument/2006/relationships/hyperlink" Target="https://en.wikipedia.org/wiki/Sierra_Leone" TargetMode="External"/><Relationship Id="rId207" Type="http://schemas.openxmlformats.org/officeDocument/2006/relationships/hyperlink" Target="https://en.wikipedia.org/wiki/American_Samoa" TargetMode="External"/><Relationship Id="rId223" Type="http://schemas.openxmlformats.org/officeDocument/2006/relationships/hyperlink" Target="https://en.wikipedia.org/wiki/Tonga" TargetMode="External"/><Relationship Id="rId228" Type="http://schemas.openxmlformats.org/officeDocument/2006/relationships/hyperlink" Target="https://en.wikipedia.org/wiki/Tuvalu" TargetMode="External"/><Relationship Id="rId244" Type="http://schemas.openxmlformats.org/officeDocument/2006/relationships/hyperlink" Target="https://en.wikipedia.org/wiki/British_Virgin_Islands" TargetMode="External"/><Relationship Id="rId249" Type="http://schemas.openxmlformats.org/officeDocument/2006/relationships/hyperlink" Target="https://en.wikipedia.org/wiki/Swaziland" TargetMode="External"/><Relationship Id="rId13" Type="http://schemas.openxmlformats.org/officeDocument/2006/relationships/hyperlink" Target="https://en.wikipedia.org/wiki/Ashmore_and_Cartier_Islands" TargetMode="External"/><Relationship Id="rId18" Type="http://schemas.openxmlformats.org/officeDocument/2006/relationships/hyperlink" Target="https://en.wikipedia.org/wiki/Barbados" TargetMode="External"/><Relationship Id="rId39" Type="http://schemas.openxmlformats.org/officeDocument/2006/relationships/hyperlink" Target="https://en.wikipedia.org/wiki/Chad" TargetMode="External"/><Relationship Id="rId109" Type="http://schemas.openxmlformats.org/officeDocument/2006/relationships/hyperlink" Target="https://en.wikipedia.org/wiki/U.S._Minor_Outlying_Islands" TargetMode="External"/><Relationship Id="rId34" Type="http://schemas.openxmlformats.org/officeDocument/2006/relationships/hyperlink" Target="https://en.wikipedia.org/wiki/Bouvet_Island" TargetMode="External"/><Relationship Id="rId50" Type="http://schemas.openxmlformats.org/officeDocument/2006/relationships/hyperlink" Target="https://en.wikipedia.org/wiki/Northern_Mariana_Islands" TargetMode="External"/><Relationship Id="rId55" Type="http://schemas.openxmlformats.org/officeDocument/2006/relationships/hyperlink" Target="https://en.wikipedia.org/wiki/Cape_Verde" TargetMode="External"/><Relationship Id="rId76" Type="http://schemas.openxmlformats.org/officeDocument/2006/relationships/hyperlink" Target="https://en.wikipedia.org/wiki/Falkland_Islands" TargetMode="External"/><Relationship Id="rId97" Type="http://schemas.openxmlformats.org/officeDocument/2006/relationships/hyperlink" Target="https://en.wikipedia.org/wiki/Guyana" TargetMode="External"/><Relationship Id="rId104" Type="http://schemas.openxmlformats.org/officeDocument/2006/relationships/hyperlink" Target="https://en.wikipedia.org/wiki/Hungary" TargetMode="External"/><Relationship Id="rId120" Type="http://schemas.openxmlformats.org/officeDocument/2006/relationships/hyperlink" Target="https://en.wikipedia.org/wiki/Kenya" TargetMode="External"/><Relationship Id="rId125" Type="http://schemas.openxmlformats.org/officeDocument/2006/relationships/hyperlink" Target="https://en.wikipedia.org/wiki/Christmas_Island" TargetMode="External"/><Relationship Id="rId141" Type="http://schemas.openxmlformats.org/officeDocument/2006/relationships/hyperlink" Target="https://en.wikipedia.org/wiki/Moldova" TargetMode="External"/><Relationship Id="rId146" Type="http://schemas.openxmlformats.org/officeDocument/2006/relationships/hyperlink" Target="https://en.wikipedia.org/wiki/Mali" TargetMode="External"/><Relationship Id="rId167" Type="http://schemas.openxmlformats.org/officeDocument/2006/relationships/hyperlink" Target="https://en.wikipedia.org/wiki/Nepal" TargetMode="External"/><Relationship Id="rId188" Type="http://schemas.openxmlformats.org/officeDocument/2006/relationships/hyperlink" Target="https://en.wikipedia.org/wiki/Philippines" TargetMode="External"/><Relationship Id="rId7" Type="http://schemas.openxmlformats.org/officeDocument/2006/relationships/hyperlink" Target="https://en.wikipedia.org/wiki/Albania" TargetMode="External"/><Relationship Id="rId71" Type="http://schemas.openxmlformats.org/officeDocument/2006/relationships/hyperlink" Target="https://en.wikipedia.org/wiki/Ethiopia" TargetMode="External"/><Relationship Id="rId92" Type="http://schemas.openxmlformats.org/officeDocument/2006/relationships/hyperlink" Target="https://en.wikipedia.org/wiki/Guadeloupe" TargetMode="External"/><Relationship Id="rId162" Type="http://schemas.openxmlformats.org/officeDocument/2006/relationships/hyperlink" Target="https://en.wikipedia.org/wiki/Vanuatu" TargetMode="External"/><Relationship Id="rId183" Type="http://schemas.openxmlformats.org/officeDocument/2006/relationships/hyperlink" Target="https://en.wikipedia.org/wiki/Guinea-Bissau" TargetMode="External"/><Relationship Id="rId213" Type="http://schemas.openxmlformats.org/officeDocument/2006/relationships/hyperlink" Target="https://en.wikipedia.org/wiki/South_Georgia_and_South_Sandwich_Islands" TargetMode="External"/><Relationship Id="rId218" Type="http://schemas.openxmlformats.org/officeDocument/2006/relationships/hyperlink" Target="https://en.wikipedia.org/wiki/Thailand" TargetMode="External"/><Relationship Id="rId234" Type="http://schemas.openxmlformats.org/officeDocument/2006/relationships/hyperlink" Target="https://en.wikipedia.org/wiki/Union_of_Soviet_Socialist_Republics" TargetMode="External"/><Relationship Id="rId239" Type="http://schemas.openxmlformats.org/officeDocument/2006/relationships/hyperlink" Target="https://en.wikipedia.org/wiki/Uzbekistan" TargetMode="External"/><Relationship Id="rId2" Type="http://schemas.openxmlformats.org/officeDocument/2006/relationships/hyperlink" Target="https://en.wikipedia.org/wiki/Asia" TargetMode="External"/><Relationship Id="rId29" Type="http://schemas.openxmlformats.org/officeDocument/2006/relationships/hyperlink" Target="https://en.wikipedia.org/wiki/Belarus" TargetMode="External"/><Relationship Id="rId250" Type="http://schemas.openxmlformats.org/officeDocument/2006/relationships/hyperlink" Target="https://en.wikipedia.org/wiki/Supreme_Headquarters_Allied_Powers_Europe" TargetMode="External"/><Relationship Id="rId255" Type="http://schemas.openxmlformats.org/officeDocument/2006/relationships/hyperlink" Target="https://en.wikipedia.org/wiki/Serbia_and_Montenegro" TargetMode="External"/><Relationship Id="rId24" Type="http://schemas.openxmlformats.org/officeDocument/2006/relationships/hyperlink" Target="https://en.wikipedia.org/wiki/Belize" TargetMode="External"/><Relationship Id="rId40" Type="http://schemas.openxmlformats.org/officeDocument/2006/relationships/hyperlink" Target="https://en.wikipedia.org/wiki/Sri_Lanka" TargetMode="External"/><Relationship Id="rId45" Type="http://schemas.openxmlformats.org/officeDocument/2006/relationships/hyperlink" Target="https://en.wikipedia.org/wiki/Cayman_Islands" TargetMode="External"/><Relationship Id="rId66" Type="http://schemas.openxmlformats.org/officeDocument/2006/relationships/hyperlink" Target="https://en.wikipedia.org/wiki/Republic_of_Ireland" TargetMode="External"/><Relationship Id="rId87" Type="http://schemas.openxmlformats.org/officeDocument/2006/relationships/hyperlink" Target="https://en.wikipedia.org/wiki/Georgia_(country)" TargetMode="External"/><Relationship Id="rId110" Type="http://schemas.openxmlformats.org/officeDocument/2006/relationships/hyperlink" Target="https://en.wikipedia.org/wiki/Iran" TargetMode="External"/><Relationship Id="rId115" Type="http://schemas.openxmlformats.org/officeDocument/2006/relationships/hyperlink" Target="https://en.wikipedia.org/wiki/Japan" TargetMode="External"/><Relationship Id="rId131" Type="http://schemas.openxmlformats.org/officeDocument/2006/relationships/hyperlink" Target="https://en.wikipedia.org/wiki/Lithuania" TargetMode="External"/><Relationship Id="rId136" Type="http://schemas.openxmlformats.org/officeDocument/2006/relationships/hyperlink" Target="https://en.wikipedia.org/wiki/Luxembourg" TargetMode="External"/><Relationship Id="rId157" Type="http://schemas.openxmlformats.org/officeDocument/2006/relationships/hyperlink" Target="https://en.wikipedia.org/wiki/Netherlands_Antilles" TargetMode="External"/><Relationship Id="rId178" Type="http://schemas.openxmlformats.org/officeDocument/2006/relationships/hyperlink" Target="https://en.wikipedia.org/wiki/Panama" TargetMode="External"/><Relationship Id="rId61" Type="http://schemas.openxmlformats.org/officeDocument/2006/relationships/hyperlink" Target="https://en.wikipedia.org/wiki/Dominica" TargetMode="External"/><Relationship Id="rId82" Type="http://schemas.openxmlformats.org/officeDocument/2006/relationships/hyperlink" Target="https://en.wikipedia.org/wiki/Republic_of_Macedonia" TargetMode="External"/><Relationship Id="rId152" Type="http://schemas.openxmlformats.org/officeDocument/2006/relationships/hyperlink" Target="https://en.wikipedia.org/wiki/Oman" TargetMode="External"/><Relationship Id="rId173" Type="http://schemas.openxmlformats.org/officeDocument/2006/relationships/hyperlink" Target="https://en.wikipedia.org/wiki/Pitcairn_Islands" TargetMode="External"/><Relationship Id="rId194" Type="http://schemas.openxmlformats.org/officeDocument/2006/relationships/hyperlink" Target="https://en.wikipedia.org/wiki/Saint_Pierre_and_Miquelon" TargetMode="External"/><Relationship Id="rId199" Type="http://schemas.openxmlformats.org/officeDocument/2006/relationships/hyperlink" Target="https://en.wikipedia.org/wiki/Saint_Helena" TargetMode="External"/><Relationship Id="rId203" Type="http://schemas.openxmlformats.org/officeDocument/2006/relationships/hyperlink" Target="https://en.wikipedia.org/wiki/San_Marino" TargetMode="External"/><Relationship Id="rId208" Type="http://schemas.openxmlformats.org/officeDocument/2006/relationships/hyperlink" Target="https://en.wikipedia.org/wiki/Samoa" TargetMode="External"/><Relationship Id="rId229" Type="http://schemas.openxmlformats.org/officeDocument/2006/relationships/hyperlink" Target="https://en.wikipedia.org/wiki/Republic_of_China" TargetMode="External"/><Relationship Id="rId19" Type="http://schemas.openxmlformats.org/officeDocument/2006/relationships/hyperlink" Target="https://en.wikipedia.org/wiki/Botswana" TargetMode="External"/><Relationship Id="rId224" Type="http://schemas.openxmlformats.org/officeDocument/2006/relationships/hyperlink" Target="https://en.wikipedia.org/wiki/Togo" TargetMode="External"/><Relationship Id="rId240" Type="http://schemas.openxmlformats.org/officeDocument/2006/relationships/hyperlink" Target="https://en.wikipedia.org/wiki/Saint_Vincent_and_the_Grenadines" TargetMode="External"/><Relationship Id="rId245" Type="http://schemas.openxmlformats.org/officeDocument/2006/relationships/hyperlink" Target="https://en.wikipedia.org/wiki/Vatican_City" TargetMode="External"/><Relationship Id="rId14" Type="http://schemas.openxmlformats.org/officeDocument/2006/relationships/hyperlink" Target="https://en.wikipedia.org/wiki/Austria" TargetMode="External"/><Relationship Id="rId30" Type="http://schemas.openxmlformats.org/officeDocument/2006/relationships/hyperlink" Target="https://en.wikipedia.org/wiki/Solomon_Islands" TargetMode="External"/><Relationship Id="rId35" Type="http://schemas.openxmlformats.org/officeDocument/2006/relationships/hyperlink" Target="https://en.wikipedia.org/wiki/Brunei" TargetMode="External"/><Relationship Id="rId56" Type="http://schemas.openxmlformats.org/officeDocument/2006/relationships/hyperlink" Target="https://en.wikipedia.org/wiki/Cook_Islands" TargetMode="External"/><Relationship Id="rId77" Type="http://schemas.openxmlformats.org/officeDocument/2006/relationships/hyperlink" Target="https://en.wikipedia.org/wiki/Federated_States_of_Micronesia" TargetMode="External"/><Relationship Id="rId100" Type="http://schemas.openxmlformats.org/officeDocument/2006/relationships/hyperlink" Target="https://en.wikipedia.org/wiki/Heard_and_McDonald_Islands" TargetMode="External"/><Relationship Id="rId105" Type="http://schemas.openxmlformats.org/officeDocument/2006/relationships/hyperlink" Target="https://en.wikipedia.org/wiki/Iceland" TargetMode="External"/><Relationship Id="rId126" Type="http://schemas.openxmlformats.org/officeDocument/2006/relationships/hyperlink" Target="https://en.wikipedia.org/wiki/Kuwait" TargetMode="External"/><Relationship Id="rId147" Type="http://schemas.openxmlformats.org/officeDocument/2006/relationships/hyperlink" Target="https://en.wikipedia.org/wiki/Monaco" TargetMode="External"/><Relationship Id="rId168" Type="http://schemas.openxmlformats.org/officeDocument/2006/relationships/hyperlink" Target="https://en.wikipedia.org/wiki/Nauru" TargetMode="External"/><Relationship Id="rId8" Type="http://schemas.openxmlformats.org/officeDocument/2006/relationships/hyperlink" Target="https://en.wikipedia.org/wiki/Armenia" TargetMode="External"/><Relationship Id="rId51" Type="http://schemas.openxmlformats.org/officeDocument/2006/relationships/hyperlink" Target="https://en.wikipedia.org/wiki/Coral_Sea_Islands" TargetMode="External"/><Relationship Id="rId72" Type="http://schemas.openxmlformats.org/officeDocument/2006/relationships/hyperlink" Target="https://en.wikipedia.org/wiki/Africa" TargetMode="External"/><Relationship Id="rId93" Type="http://schemas.openxmlformats.org/officeDocument/2006/relationships/hyperlink" Target="https://en.wikipedia.org/wiki/Guam" TargetMode="External"/><Relationship Id="rId98" Type="http://schemas.openxmlformats.org/officeDocument/2006/relationships/hyperlink" Target="https://en.wikipedia.org/wiki/Haiti" TargetMode="External"/><Relationship Id="rId121" Type="http://schemas.openxmlformats.org/officeDocument/2006/relationships/hyperlink" Target="https://en.wikipedia.org/wiki/Kyrgyzstan" TargetMode="External"/><Relationship Id="rId142" Type="http://schemas.openxmlformats.org/officeDocument/2006/relationships/hyperlink" Target="https://en.wikipedia.org/wiki/Montenegro" TargetMode="External"/><Relationship Id="rId163" Type="http://schemas.openxmlformats.org/officeDocument/2006/relationships/hyperlink" Target="https://en.wikipedia.org/wiki/Nigeria" TargetMode="External"/><Relationship Id="rId184" Type="http://schemas.openxmlformats.org/officeDocument/2006/relationships/hyperlink" Target="https://en.wikipedia.org/wiki/Qatar" TargetMode="External"/><Relationship Id="rId189" Type="http://schemas.openxmlformats.org/officeDocument/2006/relationships/hyperlink" Target="https://en.wikipedia.org/wiki/Puerto_Rico" TargetMode="External"/><Relationship Id="rId219" Type="http://schemas.openxmlformats.org/officeDocument/2006/relationships/hyperlink" Target="https://en.wikipedia.org/wiki/Tajikistan" TargetMode="External"/><Relationship Id="rId3" Type="http://schemas.openxmlformats.org/officeDocument/2006/relationships/hyperlink" Target="https://en.wikipedia.org/wiki/Antigua_and_Barbuda" TargetMode="External"/><Relationship Id="rId214" Type="http://schemas.openxmlformats.org/officeDocument/2006/relationships/hyperlink" Target="https://en.wikipedia.org/wiki/Syrian_Arab_Republic" TargetMode="External"/><Relationship Id="rId230" Type="http://schemas.openxmlformats.org/officeDocument/2006/relationships/hyperlink" Target="https://en.wikipedia.org/wiki/Turkmenistan" TargetMode="External"/><Relationship Id="rId235" Type="http://schemas.openxmlformats.org/officeDocument/2006/relationships/hyperlink" Target="https://en.wikipedia.org/wiki/United_States_of_America" TargetMode="External"/><Relationship Id="rId251" Type="http://schemas.openxmlformats.org/officeDocument/2006/relationships/hyperlink" Target="https://en.wikipedia.org/wiki/SACLANT" TargetMode="External"/><Relationship Id="rId256" Type="http://schemas.openxmlformats.org/officeDocument/2006/relationships/hyperlink" Target="https://en.wikipedia.org/wiki/Federal_Republic_of_Yugoslavia" TargetMode="External"/><Relationship Id="rId25" Type="http://schemas.openxmlformats.org/officeDocument/2006/relationships/hyperlink" Target="https://en.wikipedia.org/wiki/Bosnia-Herzegovina" TargetMode="External"/><Relationship Id="rId46" Type="http://schemas.openxmlformats.org/officeDocument/2006/relationships/hyperlink" Target="https://en.wikipedia.org/wiki/Cocos_(Keeling)_Islands" TargetMode="External"/><Relationship Id="rId67" Type="http://schemas.openxmlformats.org/officeDocument/2006/relationships/hyperlink" Target="https://en.wikipedia.org/wiki/Equatorial_Guinea" TargetMode="External"/><Relationship Id="rId116" Type="http://schemas.openxmlformats.org/officeDocument/2006/relationships/hyperlink" Target="https://en.wikipedia.org/wiki/Jamaica" TargetMode="External"/><Relationship Id="rId137" Type="http://schemas.openxmlformats.org/officeDocument/2006/relationships/hyperlink" Target="https://en.wikipedia.org/wiki/Libyan_Arab_Jamahiriya" TargetMode="External"/><Relationship Id="rId158" Type="http://schemas.openxmlformats.org/officeDocument/2006/relationships/hyperlink" Target="https://en.wikipedia.org/wiki/New_Caledonia" TargetMode="External"/><Relationship Id="rId20" Type="http://schemas.openxmlformats.org/officeDocument/2006/relationships/hyperlink" Target="https://en.wikipedia.org/wiki/Bermuda" TargetMode="External"/><Relationship Id="rId41" Type="http://schemas.openxmlformats.org/officeDocument/2006/relationships/hyperlink" Target="https://en.wikipedia.org/wiki/Republic_of_the_Congo" TargetMode="External"/><Relationship Id="rId62" Type="http://schemas.openxmlformats.org/officeDocument/2006/relationships/hyperlink" Target="https://en.wikipedia.org/wiki/Dominican_Republic" TargetMode="External"/><Relationship Id="rId83" Type="http://schemas.openxmlformats.org/officeDocument/2006/relationships/hyperlink" Target="https://en.wikipedia.org/wiki/The_Gambia" TargetMode="External"/><Relationship Id="rId88" Type="http://schemas.openxmlformats.org/officeDocument/2006/relationships/hyperlink" Target="https://en.wikipedia.org/wiki/Ghana" TargetMode="External"/><Relationship Id="rId111" Type="http://schemas.openxmlformats.org/officeDocument/2006/relationships/hyperlink" Target="https://en.wikipedia.org/wiki/Israel" TargetMode="External"/><Relationship Id="rId132" Type="http://schemas.openxmlformats.org/officeDocument/2006/relationships/hyperlink" Target="https://en.wikipedia.org/wiki/Liberia" TargetMode="External"/><Relationship Id="rId153" Type="http://schemas.openxmlformats.org/officeDocument/2006/relationships/hyperlink" Target="https://en.wikipedia.org/wiki/Maldives" TargetMode="External"/><Relationship Id="rId174" Type="http://schemas.openxmlformats.org/officeDocument/2006/relationships/hyperlink" Target="https://en.wikipedia.org/wiki/Peru" TargetMode="External"/><Relationship Id="rId179" Type="http://schemas.openxmlformats.org/officeDocument/2006/relationships/hyperlink" Target="https://en.wikipedia.org/wiki/Portugal" TargetMode="External"/><Relationship Id="rId195" Type="http://schemas.openxmlformats.org/officeDocument/2006/relationships/hyperlink" Target="https://en.wikipedia.org/wiki/Saint_Kitts_and_Nevis" TargetMode="External"/><Relationship Id="rId209" Type="http://schemas.openxmlformats.org/officeDocument/2006/relationships/hyperlink" Target="https://en.wikipedia.org/wiki/Saint_Lucia" TargetMode="External"/><Relationship Id="rId190" Type="http://schemas.openxmlformats.org/officeDocument/2006/relationships/hyperlink" Target="https://en.wikipedia.org/wiki/Serbia" TargetMode="External"/><Relationship Id="rId204" Type="http://schemas.openxmlformats.org/officeDocument/2006/relationships/hyperlink" Target="https://en.wikipedia.org/wiki/Singapore" TargetMode="External"/><Relationship Id="rId220" Type="http://schemas.openxmlformats.org/officeDocument/2006/relationships/hyperlink" Target="https://en.wikipedia.org/wiki/Turks_and_Caicos_Islands" TargetMode="External"/><Relationship Id="rId225" Type="http://schemas.openxmlformats.org/officeDocument/2006/relationships/hyperlink" Target="https://en.wikipedia.org/wiki/S%C3%A3o_Tom%C3%A9_and_Pr%C3%ADncipe" TargetMode="External"/><Relationship Id="rId241" Type="http://schemas.openxmlformats.org/officeDocument/2006/relationships/hyperlink" Target="https://en.wikipedia.org/wiki/Venezuela" TargetMode="External"/><Relationship Id="rId246" Type="http://schemas.openxmlformats.org/officeDocument/2006/relationships/hyperlink" Target="https://en.wikipedia.org/wiki/Namibia" TargetMode="External"/><Relationship Id="rId15" Type="http://schemas.openxmlformats.org/officeDocument/2006/relationships/hyperlink" Target="https://en.wikipedia.org/wiki/Anguilla" TargetMode="External"/><Relationship Id="rId36" Type="http://schemas.openxmlformats.org/officeDocument/2006/relationships/hyperlink" Target="https://en.wikipedia.org/wiki/Burundi" TargetMode="External"/><Relationship Id="rId57" Type="http://schemas.openxmlformats.org/officeDocument/2006/relationships/hyperlink" Target="https://en.wikipedia.org/wiki/Cyprus" TargetMode="External"/><Relationship Id="rId106" Type="http://schemas.openxmlformats.org/officeDocument/2006/relationships/hyperlink" Target="https://en.wikipedia.org/wiki/Indonesia" TargetMode="External"/><Relationship Id="rId127" Type="http://schemas.openxmlformats.org/officeDocument/2006/relationships/hyperlink" Target="https://en.wikipedia.org/wiki/Kazakhstan" TargetMode="External"/><Relationship Id="rId10" Type="http://schemas.openxmlformats.org/officeDocument/2006/relationships/hyperlink" Target="https://en.wikipedia.org/wiki/Angola" TargetMode="External"/><Relationship Id="rId31" Type="http://schemas.openxmlformats.org/officeDocument/2006/relationships/hyperlink" Target="https://en.wikipedia.org/wiki/Brazil" TargetMode="External"/><Relationship Id="rId52" Type="http://schemas.openxmlformats.org/officeDocument/2006/relationships/hyperlink" Target="https://en.wikipedia.org/wiki/Costa_Rica" TargetMode="External"/><Relationship Id="rId73" Type="http://schemas.openxmlformats.org/officeDocument/2006/relationships/hyperlink" Target="https://en.wikipedia.org/wiki/French_Guiana" TargetMode="External"/><Relationship Id="rId78" Type="http://schemas.openxmlformats.org/officeDocument/2006/relationships/hyperlink" Target="https://en.wikipedia.org/wiki/Faroe_Islands" TargetMode="External"/><Relationship Id="rId94" Type="http://schemas.openxmlformats.org/officeDocument/2006/relationships/hyperlink" Target="https://en.wikipedia.org/wiki/Greece" TargetMode="External"/><Relationship Id="rId99" Type="http://schemas.openxmlformats.org/officeDocument/2006/relationships/hyperlink" Target="https://en.wikipedia.org/wiki/Hong_Kong" TargetMode="External"/><Relationship Id="rId101" Type="http://schemas.openxmlformats.org/officeDocument/2006/relationships/hyperlink" Target="https://en.wikipedia.org/wiki/Honduras" TargetMode="External"/><Relationship Id="rId122" Type="http://schemas.openxmlformats.org/officeDocument/2006/relationships/hyperlink" Target="https://en.wikipedia.org/wiki/North_Korea" TargetMode="External"/><Relationship Id="rId143" Type="http://schemas.openxmlformats.org/officeDocument/2006/relationships/hyperlink" Target="https://en.wikipedia.org/wiki/Mongolia" TargetMode="External"/><Relationship Id="rId148" Type="http://schemas.openxmlformats.org/officeDocument/2006/relationships/hyperlink" Target="https://en.wikipedia.org/wiki/Morocco" TargetMode="External"/><Relationship Id="rId164" Type="http://schemas.openxmlformats.org/officeDocument/2006/relationships/hyperlink" Target="https://en.wikipedia.org/wiki/Netherlands" TargetMode="External"/><Relationship Id="rId169" Type="http://schemas.openxmlformats.org/officeDocument/2006/relationships/hyperlink" Target="https://en.wikipedia.org/wiki/Suriname" TargetMode="External"/><Relationship Id="rId185" Type="http://schemas.openxmlformats.org/officeDocument/2006/relationships/hyperlink" Target="https://en.wikipedia.org/wiki/R%C3%A9union" TargetMode="External"/><Relationship Id="rId4" Type="http://schemas.openxmlformats.org/officeDocument/2006/relationships/hyperlink" Target="https://en.wikipedia.org/wiki/Afghanistan" TargetMode="External"/><Relationship Id="rId9" Type="http://schemas.openxmlformats.org/officeDocument/2006/relationships/hyperlink" Target="https://en.wikipedia.org/wiki/Andorra" TargetMode="External"/><Relationship Id="rId180" Type="http://schemas.openxmlformats.org/officeDocument/2006/relationships/hyperlink" Target="https://en.wikipedia.org/wiki/Papua_New_Guinea" TargetMode="External"/><Relationship Id="rId210" Type="http://schemas.openxmlformats.org/officeDocument/2006/relationships/hyperlink" Target="https://en.wikipedia.org/wiki/Sudan" TargetMode="External"/><Relationship Id="rId215" Type="http://schemas.openxmlformats.org/officeDocument/2006/relationships/hyperlink" Target="https://en.wikipedia.org/wiki/Switzerland" TargetMode="External"/><Relationship Id="rId236" Type="http://schemas.openxmlformats.org/officeDocument/2006/relationships/hyperlink" Target="https://en.wikipedia.org/wiki/Oceania" TargetMode="External"/><Relationship Id="rId257" Type="http://schemas.openxmlformats.org/officeDocument/2006/relationships/hyperlink" Target="https://en.wikipedia.org/wiki/Zambia" TargetMode="External"/><Relationship Id="rId26" Type="http://schemas.openxmlformats.org/officeDocument/2006/relationships/hyperlink" Target="https://en.wikipedia.org/wiki/Bolivia" TargetMode="External"/><Relationship Id="rId231" Type="http://schemas.openxmlformats.org/officeDocument/2006/relationships/hyperlink" Target="https://en.wikipedia.org/wiki/Tanzania" TargetMode="External"/><Relationship Id="rId252" Type="http://schemas.openxmlformats.org/officeDocument/2006/relationships/hyperlink" Target="https://en.wikipedia.org/wiki/Yemen" TargetMode="External"/><Relationship Id="rId47" Type="http://schemas.openxmlformats.org/officeDocument/2006/relationships/hyperlink" Target="https://en.wikipedia.org/wiki/Cameroun" TargetMode="External"/><Relationship Id="rId68" Type="http://schemas.openxmlformats.org/officeDocument/2006/relationships/hyperlink" Target="https://en.wikipedia.org/wiki/Estonia" TargetMode="External"/><Relationship Id="rId89" Type="http://schemas.openxmlformats.org/officeDocument/2006/relationships/hyperlink" Target="https://en.wikipedia.org/wiki/Gibraltar" TargetMode="External"/><Relationship Id="rId112" Type="http://schemas.openxmlformats.org/officeDocument/2006/relationships/hyperlink" Target="https://en.wikipedia.org/wiki/Italy" TargetMode="External"/><Relationship Id="rId133" Type="http://schemas.openxmlformats.org/officeDocument/2006/relationships/hyperlink" Target="https://en.wikipedia.org/wiki/Slovakia" TargetMode="External"/><Relationship Id="rId154" Type="http://schemas.openxmlformats.org/officeDocument/2006/relationships/hyperlink" Target="https://en.wikipedia.org/wiki/Mexico" TargetMode="External"/><Relationship Id="rId175" Type="http://schemas.openxmlformats.org/officeDocument/2006/relationships/hyperlink" Target="https://en.wikipedia.org/wiki/Paracel_Islands" TargetMode="External"/><Relationship Id="rId196" Type="http://schemas.openxmlformats.org/officeDocument/2006/relationships/hyperlink" Target="https://en.wikipedia.org/wiki/Seychelles" TargetMode="External"/><Relationship Id="rId200" Type="http://schemas.openxmlformats.org/officeDocument/2006/relationships/hyperlink" Target="https://en.wikipedia.org/wiki/Slovenia" TargetMode="External"/><Relationship Id="rId16" Type="http://schemas.openxmlformats.org/officeDocument/2006/relationships/hyperlink" Target="https://en.wikipedia.org/wiki/Antarctica" TargetMode="External"/><Relationship Id="rId221" Type="http://schemas.openxmlformats.org/officeDocument/2006/relationships/hyperlink" Target="https://en.wikipedia.org/wiki/Tokelau" TargetMode="External"/><Relationship Id="rId242" Type="http://schemas.openxmlformats.org/officeDocument/2006/relationships/hyperlink" Target="https://en.wikipedia.org/wiki/U.S._Virgin_Islands" TargetMode="External"/><Relationship Id="rId37" Type="http://schemas.openxmlformats.org/officeDocument/2006/relationships/hyperlink" Target="https://en.wikipedia.org/wiki/Canada" TargetMode="External"/><Relationship Id="rId58" Type="http://schemas.openxmlformats.org/officeDocument/2006/relationships/hyperlink" Target="https://en.wikipedia.org/wiki/Czech_Republic" TargetMode="External"/><Relationship Id="rId79" Type="http://schemas.openxmlformats.org/officeDocument/2006/relationships/hyperlink" Target="https://en.wikipedia.org/wiki/French_Polynesia" TargetMode="External"/><Relationship Id="rId102" Type="http://schemas.openxmlformats.org/officeDocument/2006/relationships/hyperlink" Target="https://en.wikipedia.org/wiki/Howland_Island" TargetMode="External"/><Relationship Id="rId123" Type="http://schemas.openxmlformats.org/officeDocument/2006/relationships/hyperlink" Target="https://en.wikipedia.org/wiki/Kiribati" TargetMode="External"/><Relationship Id="rId144" Type="http://schemas.openxmlformats.org/officeDocument/2006/relationships/hyperlink" Target="https://en.wikipedia.org/wiki/Montserrat" TargetMode="External"/><Relationship Id="rId90" Type="http://schemas.openxmlformats.org/officeDocument/2006/relationships/hyperlink" Target="https://en.wikipedia.org/wiki/Grenada" TargetMode="External"/><Relationship Id="rId165" Type="http://schemas.openxmlformats.org/officeDocument/2006/relationships/hyperlink" Target="https://en.wikipedia.org/wiki/North_America" TargetMode="External"/><Relationship Id="rId186" Type="http://schemas.openxmlformats.org/officeDocument/2006/relationships/hyperlink" Target="https://en.wikipedia.org/wiki/Marshall_Islands" TargetMode="External"/><Relationship Id="rId211" Type="http://schemas.openxmlformats.org/officeDocument/2006/relationships/hyperlink" Target="https://en.wikipedia.org/wiki/El_Salvador" TargetMode="External"/><Relationship Id="rId232" Type="http://schemas.openxmlformats.org/officeDocument/2006/relationships/hyperlink" Target="https://en.wikipedia.org/wiki/Uganda" TargetMode="External"/><Relationship Id="rId253" Type="http://schemas.openxmlformats.org/officeDocument/2006/relationships/hyperlink" Target="https://en.wikipedia.org/wiki/Socialist_Federal_Republic_of_Yugoslavia" TargetMode="External"/><Relationship Id="rId27" Type="http://schemas.openxmlformats.org/officeDocument/2006/relationships/hyperlink" Target="https://en.wikipedia.org/wiki/Myanmar" TargetMode="External"/><Relationship Id="rId48" Type="http://schemas.openxmlformats.org/officeDocument/2006/relationships/hyperlink" Target="https://en.wikipedia.org/wiki/Comoros" TargetMode="External"/><Relationship Id="rId69" Type="http://schemas.openxmlformats.org/officeDocument/2006/relationships/hyperlink" Target="https://en.wikipedia.org/wiki/Eritrea" TargetMode="External"/><Relationship Id="rId113" Type="http://schemas.openxmlformats.org/officeDocument/2006/relationships/hyperlink" Target="https://en.wikipedia.org/wiki/C%C3%B4te_d%27Ivoire" TargetMode="External"/><Relationship Id="rId134" Type="http://schemas.openxmlformats.org/officeDocument/2006/relationships/hyperlink" Target="https://en.wikipedia.org/wiki/Liechtenstein" TargetMode="External"/><Relationship Id="rId80" Type="http://schemas.openxmlformats.org/officeDocument/2006/relationships/hyperlink" Target="https://en.wikipedia.org/wiki/France" TargetMode="External"/><Relationship Id="rId155" Type="http://schemas.openxmlformats.org/officeDocument/2006/relationships/hyperlink" Target="https://en.wikipedia.org/wiki/Malaysia" TargetMode="External"/><Relationship Id="rId176" Type="http://schemas.openxmlformats.org/officeDocument/2006/relationships/hyperlink" Target="https://en.wikipedia.org/wiki/Pakistan" TargetMode="External"/><Relationship Id="rId197" Type="http://schemas.openxmlformats.org/officeDocument/2006/relationships/hyperlink" Target="https://en.wikipedia.org/wiki/South_Africa" TargetMode="External"/><Relationship Id="rId201" Type="http://schemas.openxmlformats.org/officeDocument/2006/relationships/hyperlink" Target="https://en.wikipedia.org/wiki/Svalbard_and_Jan_Mayen_Islands" TargetMode="External"/><Relationship Id="rId222" Type="http://schemas.openxmlformats.org/officeDocument/2006/relationships/hyperlink" Target="https://en.wikipedia.org/wiki/East_Timor" TargetMode="External"/><Relationship Id="rId243" Type="http://schemas.openxmlformats.org/officeDocument/2006/relationships/hyperlink" Target="https://en.wikipedia.org/wiki/Vietnam" TargetMode="External"/><Relationship Id="rId17" Type="http://schemas.openxmlformats.org/officeDocument/2006/relationships/hyperlink" Target="https://en.wikipedia.org/wiki/Bahrain" TargetMode="External"/><Relationship Id="rId38" Type="http://schemas.openxmlformats.org/officeDocument/2006/relationships/hyperlink" Target="https://en.wikipedia.org/wiki/Cambodia" TargetMode="External"/><Relationship Id="rId59" Type="http://schemas.openxmlformats.org/officeDocument/2006/relationships/hyperlink" Target="https://en.wikipedia.org/wiki/Denmark" TargetMode="External"/><Relationship Id="rId103" Type="http://schemas.openxmlformats.org/officeDocument/2006/relationships/hyperlink" Target="https://en.wikipedia.org/wiki/Croatia" TargetMode="External"/><Relationship Id="rId124" Type="http://schemas.openxmlformats.org/officeDocument/2006/relationships/hyperlink" Target="https://en.wikipedia.org/wiki/South_Kore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25C9-CED1-4699-8C9E-E9FEC245E1EE}">
  <dimension ref="A1:P486"/>
  <sheetViews>
    <sheetView tabSelected="1" workbookViewId="0">
      <selection activeCell="K14" sqref="K14"/>
    </sheetView>
  </sheetViews>
  <sheetFormatPr defaultRowHeight="15" x14ac:dyDescent="0.25"/>
  <cols>
    <col min="1" max="1" width="2.5703125" style="263" customWidth="1"/>
    <col min="2" max="2" width="17.140625" style="263" customWidth="1"/>
    <col min="3" max="8" width="11.140625" style="263" customWidth="1"/>
    <col min="9" max="16384" width="9.140625" style="263"/>
  </cols>
  <sheetData>
    <row r="1" spans="1:16" ht="10.5" customHeight="1" thickBot="1" x14ac:dyDescent="0.3">
      <c r="A1" s="7"/>
      <c r="B1" s="7"/>
      <c r="C1" s="7"/>
      <c r="D1" s="7"/>
      <c r="E1" s="7"/>
      <c r="F1" s="7"/>
      <c r="G1" s="7"/>
      <c r="H1" s="7"/>
    </row>
    <row r="2" spans="1:16" ht="15.75" thickBot="1" x14ac:dyDescent="0.3">
      <c r="A2" s="8"/>
      <c r="B2" s="361" t="s">
        <v>124</v>
      </c>
      <c r="C2" s="362"/>
      <c r="D2" s="362"/>
      <c r="E2" s="362"/>
      <c r="F2" s="362"/>
      <c r="G2" s="362"/>
      <c r="H2" s="363"/>
      <c r="I2" s="195"/>
      <c r="J2" s="194"/>
      <c r="K2" s="196"/>
      <c r="L2" s="195"/>
    </row>
    <row r="3" spans="1:16" ht="7.5" customHeight="1" thickBot="1" x14ac:dyDescent="0.3">
      <c r="A3" s="8"/>
      <c r="B3" s="364"/>
      <c r="C3" s="365"/>
      <c r="D3" s="365"/>
      <c r="E3" s="365"/>
      <c r="F3" s="365"/>
      <c r="G3" s="365"/>
      <c r="H3" s="8"/>
      <c r="I3" s="195"/>
      <c r="J3" s="194"/>
      <c r="K3" s="196"/>
      <c r="L3" s="195"/>
    </row>
    <row r="4" spans="1:16" ht="15.75" thickBot="1" x14ac:dyDescent="0.3">
      <c r="A4" s="8"/>
      <c r="B4" s="20"/>
      <c r="C4" s="19" t="s">
        <v>17</v>
      </c>
      <c r="D4" s="17" t="s">
        <v>32</v>
      </c>
      <c r="E4" s="15" t="s">
        <v>41</v>
      </c>
      <c r="F4" s="14" t="s">
        <v>47</v>
      </c>
      <c r="G4" s="16" t="s">
        <v>52</v>
      </c>
      <c r="H4" s="21"/>
      <c r="I4" s="195"/>
      <c r="J4" s="194"/>
      <c r="K4" s="196"/>
      <c r="L4" s="195"/>
    </row>
    <row r="5" spans="1:16" ht="20.100000000000001" customHeight="1" thickBot="1" x14ac:dyDescent="0.3">
      <c r="A5" s="8"/>
      <c r="B5" s="18" t="s">
        <v>19</v>
      </c>
      <c r="C5" s="46">
        <v>93</v>
      </c>
      <c r="D5" s="46">
        <v>94</v>
      </c>
      <c r="E5" s="46">
        <v>98</v>
      </c>
      <c r="F5" s="46">
        <v>24</v>
      </c>
      <c r="G5" s="46">
        <v>78</v>
      </c>
      <c r="H5" s="22">
        <f>SUM(C5:G5)</f>
        <v>387</v>
      </c>
      <c r="I5" s="195"/>
      <c r="J5" s="194"/>
      <c r="K5" s="196"/>
      <c r="L5" s="195"/>
    </row>
    <row r="6" spans="1:16" ht="20.100000000000001" customHeight="1" thickBot="1" x14ac:dyDescent="0.3">
      <c r="A6" s="8"/>
      <c r="B6" s="18" t="s">
        <v>20</v>
      </c>
      <c r="C6" s="46">
        <v>66</v>
      </c>
      <c r="D6" s="46">
        <v>113</v>
      </c>
      <c r="E6" s="46">
        <v>75</v>
      </c>
      <c r="F6" s="46">
        <v>30</v>
      </c>
      <c r="G6" s="46">
        <v>104</v>
      </c>
      <c r="H6" s="22">
        <f t="shared" ref="H6:H15" si="0">SUM(C6:G6)</f>
        <v>388</v>
      </c>
      <c r="I6" s="123"/>
      <c r="J6" s="124"/>
      <c r="K6" s="125"/>
      <c r="L6" s="123"/>
      <c r="M6" s="126"/>
      <c r="N6" s="126"/>
      <c r="O6" s="127"/>
      <c r="P6" s="127"/>
    </row>
    <row r="7" spans="1:16" ht="20.100000000000001" customHeight="1" thickBot="1" x14ac:dyDescent="0.3">
      <c r="A7" s="8"/>
      <c r="B7" s="18" t="s">
        <v>21</v>
      </c>
      <c r="C7" s="46">
        <v>48</v>
      </c>
      <c r="D7" s="46">
        <v>128</v>
      </c>
      <c r="E7" s="46">
        <v>88</v>
      </c>
      <c r="F7" s="46">
        <v>33</v>
      </c>
      <c r="G7" s="46">
        <v>76</v>
      </c>
      <c r="H7" s="22">
        <f t="shared" si="0"/>
        <v>373</v>
      </c>
      <c r="I7" s="123"/>
      <c r="J7" s="124"/>
      <c r="K7" s="125"/>
      <c r="L7" s="123"/>
      <c r="M7" s="126"/>
      <c r="N7" s="126"/>
      <c r="O7" s="127"/>
      <c r="P7" s="127"/>
    </row>
    <row r="8" spans="1:16" ht="20.100000000000001" customHeight="1" thickBot="1" x14ac:dyDescent="0.3">
      <c r="A8" s="8"/>
      <c r="B8" s="18" t="s">
        <v>22</v>
      </c>
      <c r="C8" s="46">
        <v>49</v>
      </c>
      <c r="D8" s="46">
        <v>73</v>
      </c>
      <c r="E8" s="46">
        <v>122</v>
      </c>
      <c r="F8" s="46">
        <v>39</v>
      </c>
      <c r="G8" s="46">
        <v>42</v>
      </c>
      <c r="H8" s="22">
        <f t="shared" si="0"/>
        <v>325</v>
      </c>
      <c r="I8" s="123"/>
      <c r="J8" s="124"/>
      <c r="K8" s="125"/>
      <c r="L8" s="123"/>
      <c r="M8" s="126"/>
      <c r="N8" s="126"/>
      <c r="O8" s="127"/>
      <c r="P8" s="127"/>
    </row>
    <row r="9" spans="1:16" ht="20.100000000000001" customHeight="1" thickBot="1" x14ac:dyDescent="0.3">
      <c r="A9" s="8"/>
      <c r="B9" s="18" t="s">
        <v>23</v>
      </c>
      <c r="C9" s="46">
        <v>11</v>
      </c>
      <c r="D9" s="46">
        <v>67</v>
      </c>
      <c r="E9" s="46">
        <v>45</v>
      </c>
      <c r="F9" s="46">
        <v>13</v>
      </c>
      <c r="G9" s="46">
        <v>42</v>
      </c>
      <c r="H9" s="22">
        <f t="shared" si="0"/>
        <v>178</v>
      </c>
      <c r="I9" s="123"/>
      <c r="J9" s="124"/>
      <c r="K9" s="125"/>
      <c r="L9" s="123"/>
      <c r="M9" s="126"/>
      <c r="N9" s="126"/>
      <c r="O9" s="127"/>
      <c r="P9" s="127"/>
    </row>
    <row r="10" spans="1:16" ht="20.100000000000001" customHeight="1" thickBot="1" x14ac:dyDescent="0.3">
      <c r="A10" s="8"/>
      <c r="B10" s="18" t="s">
        <v>24</v>
      </c>
      <c r="C10" s="46">
        <v>20</v>
      </c>
      <c r="D10" s="46">
        <v>49</v>
      </c>
      <c r="E10" s="46">
        <v>27</v>
      </c>
      <c r="F10" s="46">
        <v>6</v>
      </c>
      <c r="G10" s="46">
        <v>10</v>
      </c>
      <c r="H10" s="22">
        <f t="shared" si="0"/>
        <v>112</v>
      </c>
      <c r="I10" s="123"/>
      <c r="J10" s="124"/>
      <c r="K10" s="125"/>
      <c r="L10" s="123"/>
      <c r="M10" s="126"/>
      <c r="N10" s="126"/>
      <c r="O10" s="127"/>
      <c r="P10" s="127"/>
    </row>
    <row r="11" spans="1:16" ht="20.100000000000001" customHeight="1" thickBot="1" x14ac:dyDescent="0.3">
      <c r="A11" s="8"/>
      <c r="B11" s="18" t="s">
        <v>25</v>
      </c>
      <c r="C11" s="46">
        <v>18</v>
      </c>
      <c r="D11" s="46">
        <v>64</v>
      </c>
      <c r="E11" s="46">
        <v>41</v>
      </c>
      <c r="F11" s="46">
        <v>10</v>
      </c>
      <c r="G11" s="46">
        <v>13</v>
      </c>
      <c r="H11" s="22">
        <f t="shared" si="0"/>
        <v>146</v>
      </c>
      <c r="I11" s="123"/>
      <c r="J11" s="124"/>
      <c r="K11" s="125"/>
      <c r="L11" s="123"/>
      <c r="M11" s="126"/>
      <c r="N11" s="126"/>
      <c r="O11" s="127"/>
      <c r="P11" s="127"/>
    </row>
    <row r="12" spans="1:16" ht="20.100000000000001" customHeight="1" thickBot="1" x14ac:dyDescent="0.3">
      <c r="A12" s="8"/>
      <c r="B12" s="18" t="s">
        <v>26</v>
      </c>
      <c r="C12" s="46">
        <v>41</v>
      </c>
      <c r="D12" s="46">
        <v>115</v>
      </c>
      <c r="E12" s="46">
        <v>67</v>
      </c>
      <c r="F12" s="46">
        <v>29</v>
      </c>
      <c r="G12" s="46">
        <v>17</v>
      </c>
      <c r="H12" s="22">
        <f t="shared" si="0"/>
        <v>269</v>
      </c>
      <c r="I12" s="123"/>
      <c r="J12" s="124"/>
      <c r="K12" s="125"/>
      <c r="L12" s="123"/>
      <c r="M12" s="126"/>
      <c r="N12" s="126"/>
      <c r="O12" s="127"/>
      <c r="P12" s="127"/>
    </row>
    <row r="13" spans="1:16" ht="20.100000000000001" customHeight="1" thickBot="1" x14ac:dyDescent="0.3">
      <c r="A13" s="8"/>
      <c r="B13" s="18" t="s">
        <v>27</v>
      </c>
      <c r="C13" s="46">
        <v>43</v>
      </c>
      <c r="D13" s="46">
        <v>38</v>
      </c>
      <c r="E13" s="46">
        <v>60</v>
      </c>
      <c r="F13" s="46">
        <v>18</v>
      </c>
      <c r="G13" s="46">
        <v>43</v>
      </c>
      <c r="H13" s="22">
        <f t="shared" si="0"/>
        <v>202</v>
      </c>
      <c r="I13" s="123"/>
      <c r="J13" s="124"/>
      <c r="K13" s="125"/>
      <c r="L13" s="123"/>
      <c r="M13" s="126"/>
      <c r="N13" s="126"/>
      <c r="O13" s="127"/>
      <c r="P13" s="127"/>
    </row>
    <row r="14" spans="1:16" ht="20.100000000000001" customHeight="1" thickBot="1" x14ac:dyDescent="0.3">
      <c r="A14" s="8"/>
      <c r="B14" s="18" t="s">
        <v>28</v>
      </c>
      <c r="C14" s="46">
        <v>12</v>
      </c>
      <c r="D14" s="46">
        <v>13</v>
      </c>
      <c r="E14" s="46">
        <v>18</v>
      </c>
      <c r="F14" s="46">
        <v>3</v>
      </c>
      <c r="G14" s="46">
        <v>7</v>
      </c>
      <c r="H14" s="22">
        <f t="shared" si="0"/>
        <v>53</v>
      </c>
      <c r="I14" s="123"/>
      <c r="J14" s="124"/>
      <c r="K14" s="125"/>
      <c r="L14" s="123"/>
      <c r="M14" s="126"/>
      <c r="N14" s="126"/>
      <c r="O14" s="127"/>
      <c r="P14" s="127"/>
    </row>
    <row r="15" spans="1:16" ht="20.100000000000001" customHeight="1" thickBot="1" x14ac:dyDescent="0.3">
      <c r="A15" s="7"/>
      <c r="B15" s="18" t="s">
        <v>29</v>
      </c>
      <c r="C15" s="46">
        <v>18</v>
      </c>
      <c r="D15" s="46">
        <v>12</v>
      </c>
      <c r="E15" s="46">
        <v>43</v>
      </c>
      <c r="F15" s="46">
        <v>9</v>
      </c>
      <c r="G15" s="46">
        <v>5</v>
      </c>
      <c r="H15" s="22">
        <f t="shared" si="0"/>
        <v>87</v>
      </c>
      <c r="I15" s="123"/>
      <c r="J15" s="124"/>
      <c r="K15" s="125"/>
      <c r="L15" s="123"/>
      <c r="M15" s="126"/>
      <c r="N15" s="126"/>
      <c r="O15" s="127"/>
      <c r="P15" s="127"/>
    </row>
    <row r="16" spans="1:16" ht="20.100000000000001" customHeight="1" thickBot="1" x14ac:dyDescent="0.3">
      <c r="A16" s="7"/>
      <c r="B16" s="18" t="s">
        <v>30</v>
      </c>
      <c r="C16" s="46">
        <v>38</v>
      </c>
      <c r="D16" s="46">
        <v>79</v>
      </c>
      <c r="E16" s="46">
        <v>27</v>
      </c>
      <c r="F16" s="46">
        <v>16</v>
      </c>
      <c r="G16" s="46">
        <v>18</v>
      </c>
      <c r="H16" s="22">
        <v>178</v>
      </c>
      <c r="I16" s="123"/>
      <c r="J16" s="124"/>
      <c r="K16" s="125"/>
      <c r="L16" s="123"/>
      <c r="M16" s="126"/>
      <c r="N16" s="126"/>
      <c r="O16" s="127"/>
      <c r="P16" s="127"/>
    </row>
    <row r="17" spans="1:16" ht="20.100000000000001" customHeight="1" thickBot="1" x14ac:dyDescent="0.3">
      <c r="A17" s="7"/>
      <c r="B17" s="26" t="s">
        <v>53</v>
      </c>
      <c r="C17" s="27">
        <f>SUM(C5:C16)</f>
        <v>457</v>
      </c>
      <c r="D17" s="27">
        <f>SUM(D5:D16)</f>
        <v>845</v>
      </c>
      <c r="E17" s="27">
        <f>SUM(E5:E16)</f>
        <v>711</v>
      </c>
      <c r="F17" s="27">
        <f>SUM(F5:F16)</f>
        <v>230</v>
      </c>
      <c r="G17" s="27">
        <f t="shared" ref="G17" si="1">SUM(G5:G16)</f>
        <v>455</v>
      </c>
      <c r="H17" s="27">
        <f>SUM(H5:H16)</f>
        <v>2698</v>
      </c>
      <c r="I17" s="129"/>
      <c r="J17" s="128"/>
      <c r="K17" s="130"/>
      <c r="L17" s="129"/>
      <c r="M17" s="127"/>
      <c r="N17" s="127"/>
      <c r="O17" s="127"/>
      <c r="P17" s="127"/>
    </row>
    <row r="18" spans="1:16" x14ac:dyDescent="0.25">
      <c r="A18" s="192"/>
      <c r="I18" s="127"/>
      <c r="J18" s="127"/>
      <c r="K18" s="127"/>
      <c r="L18" s="127"/>
      <c r="M18" s="127"/>
      <c r="N18" s="127"/>
      <c r="O18" s="127"/>
      <c r="P18" s="127"/>
    </row>
    <row r="19" spans="1:16" x14ac:dyDescent="0.25">
      <c r="A19" s="192"/>
      <c r="I19" s="127"/>
      <c r="J19" s="127"/>
      <c r="K19" s="127"/>
      <c r="L19" s="127"/>
      <c r="M19" s="127"/>
      <c r="N19" s="127"/>
      <c r="O19" s="127"/>
      <c r="P19" s="127"/>
    </row>
    <row r="20" spans="1:16" x14ac:dyDescent="0.25">
      <c r="A20" s="192"/>
      <c r="I20" s="127"/>
      <c r="J20" s="127"/>
      <c r="K20" s="127"/>
      <c r="L20" s="127"/>
      <c r="M20" s="127"/>
      <c r="N20" s="127"/>
      <c r="O20" s="127"/>
      <c r="P20" s="127"/>
    </row>
    <row r="21" spans="1:16" x14ac:dyDescent="0.25">
      <c r="A21" s="192"/>
      <c r="I21" s="127"/>
      <c r="J21" s="127"/>
      <c r="K21" s="127"/>
      <c r="L21" s="127"/>
      <c r="M21" s="127"/>
      <c r="N21" s="127"/>
      <c r="O21" s="127"/>
      <c r="P21" s="127"/>
    </row>
    <row r="22" spans="1:16" x14ac:dyDescent="0.25">
      <c r="A22" s="192"/>
    </row>
    <row r="23" spans="1:16" ht="10.5" customHeight="1" x14ac:dyDescent="0.25">
      <c r="A23" s="192"/>
    </row>
    <row r="24" spans="1:16" x14ac:dyDescent="0.25">
      <c r="A24" s="192"/>
      <c r="D24" s="2"/>
    </row>
    <row r="25" spans="1:16" x14ac:dyDescent="0.25">
      <c r="A25" s="192"/>
    </row>
    <row r="26" spans="1:16" x14ac:dyDescent="0.25">
      <c r="A26" s="192"/>
    </row>
    <row r="27" spans="1:16" x14ac:dyDescent="0.25">
      <c r="A27" s="192"/>
    </row>
    <row r="28" spans="1:16" x14ac:dyDescent="0.25">
      <c r="A28" s="192"/>
    </row>
    <row r="29" spans="1:16" x14ac:dyDescent="0.25">
      <c r="A29" s="192"/>
    </row>
    <row r="30" spans="1:16" x14ac:dyDescent="0.25">
      <c r="A30" s="192"/>
    </row>
    <row r="31" spans="1:16" x14ac:dyDescent="0.25">
      <c r="A31" s="192"/>
    </row>
    <row r="32" spans="1:16" x14ac:dyDescent="0.25">
      <c r="A32" s="192"/>
    </row>
    <row r="33" spans="1:1" x14ac:dyDescent="0.25">
      <c r="A33" s="192"/>
    </row>
    <row r="34" spans="1:1" ht="10.5" customHeight="1" x14ac:dyDescent="0.25">
      <c r="A34" s="192"/>
    </row>
    <row r="35" spans="1:1" x14ac:dyDescent="0.25">
      <c r="A35" s="192"/>
    </row>
    <row r="36" spans="1:1" x14ac:dyDescent="0.25">
      <c r="A36" s="192"/>
    </row>
    <row r="37" spans="1:1" x14ac:dyDescent="0.25">
      <c r="A37" s="192"/>
    </row>
    <row r="38" spans="1:1" x14ac:dyDescent="0.25">
      <c r="A38" s="192"/>
    </row>
    <row r="39" spans="1:1" x14ac:dyDescent="0.25">
      <c r="A39" s="192"/>
    </row>
    <row r="40" spans="1:1" x14ac:dyDescent="0.25">
      <c r="A40" s="192"/>
    </row>
    <row r="41" spans="1:1" x14ac:dyDescent="0.25">
      <c r="A41" s="192"/>
    </row>
    <row r="42" spans="1:1" x14ac:dyDescent="0.25">
      <c r="A42" s="192"/>
    </row>
    <row r="43" spans="1:1" ht="10.5" customHeight="1" x14ac:dyDescent="0.25">
      <c r="A43" s="192"/>
    </row>
    <row r="44" spans="1:1" x14ac:dyDescent="0.25">
      <c r="A44" s="192"/>
    </row>
    <row r="45" spans="1:1" x14ac:dyDescent="0.25">
      <c r="A45" s="192"/>
    </row>
    <row r="46" spans="1:1" x14ac:dyDescent="0.25">
      <c r="A46" s="192"/>
    </row>
    <row r="47" spans="1:1" x14ac:dyDescent="0.25">
      <c r="A47" s="192"/>
    </row>
    <row r="48" spans="1:1" x14ac:dyDescent="0.25">
      <c r="A48" s="192"/>
    </row>
    <row r="49" spans="1:12" ht="10.5" customHeight="1" x14ac:dyDescent="0.25">
      <c r="A49" s="192"/>
    </row>
    <row r="50" spans="1:12" x14ac:dyDescent="0.25">
      <c r="A50" s="192"/>
    </row>
    <row r="51" spans="1:12" x14ac:dyDescent="0.25">
      <c r="A51" s="192"/>
    </row>
    <row r="52" spans="1:12" x14ac:dyDescent="0.25">
      <c r="A52" s="192"/>
    </row>
    <row r="53" spans="1:12" x14ac:dyDescent="0.25">
      <c r="A53" s="192"/>
      <c r="B53" s="1"/>
      <c r="C53" s="192"/>
      <c r="D53" s="194"/>
      <c r="E53" s="194"/>
      <c r="F53" s="194"/>
      <c r="G53" s="192"/>
      <c r="H53" s="192"/>
      <c r="I53" s="195"/>
      <c r="J53" s="194"/>
      <c r="K53" s="196"/>
      <c r="L53" s="195"/>
    </row>
    <row r="54" spans="1:12" x14ac:dyDescent="0.25">
      <c r="A54" s="192"/>
      <c r="B54" s="1"/>
      <c r="C54" s="192"/>
      <c r="D54" s="194"/>
      <c r="E54" s="194"/>
      <c r="F54" s="194"/>
      <c r="G54" s="192"/>
      <c r="H54" s="192"/>
      <c r="I54" s="195"/>
      <c r="J54" s="194"/>
      <c r="K54" s="196"/>
      <c r="L54" s="195"/>
    </row>
    <row r="55" spans="1:12" x14ac:dyDescent="0.25">
      <c r="A55" s="192"/>
      <c r="B55" s="1"/>
      <c r="C55" s="192"/>
      <c r="D55" s="194"/>
      <c r="E55" s="194"/>
      <c r="F55" s="194"/>
      <c r="G55" s="192"/>
      <c r="H55" s="192"/>
      <c r="I55" s="195"/>
      <c r="J55" s="194"/>
      <c r="K55" s="196"/>
      <c r="L55" s="195"/>
    </row>
    <row r="56" spans="1:12" x14ac:dyDescent="0.25">
      <c r="A56" s="192"/>
      <c r="B56" s="1"/>
      <c r="C56" s="192"/>
      <c r="D56" s="194"/>
      <c r="E56" s="194"/>
      <c r="F56" s="194"/>
      <c r="G56" s="192"/>
      <c r="H56" s="192"/>
      <c r="I56" s="195"/>
      <c r="J56" s="194"/>
      <c r="K56" s="196"/>
      <c r="L56" s="195"/>
    </row>
    <row r="57" spans="1:12" x14ac:dyDescent="0.25">
      <c r="A57" s="192"/>
      <c r="B57" s="1"/>
      <c r="C57" s="192"/>
      <c r="D57" s="194"/>
      <c r="E57" s="194"/>
      <c r="F57" s="194"/>
      <c r="G57" s="192"/>
      <c r="H57" s="192"/>
      <c r="I57" s="195"/>
      <c r="J57" s="194"/>
      <c r="K57" s="196"/>
      <c r="L57" s="195"/>
    </row>
    <row r="58" spans="1:12" x14ac:dyDescent="0.25">
      <c r="A58" s="192"/>
      <c r="B58" s="1"/>
      <c r="C58" s="192"/>
      <c r="D58" s="194"/>
      <c r="E58" s="194"/>
      <c r="F58" s="194"/>
      <c r="G58" s="192"/>
      <c r="H58" s="192"/>
      <c r="I58" s="195"/>
      <c r="J58" s="194"/>
      <c r="K58" s="196"/>
      <c r="L58" s="195"/>
    </row>
    <row r="59" spans="1:12" x14ac:dyDescent="0.25">
      <c r="A59" s="192"/>
      <c r="B59" s="1"/>
      <c r="C59" s="192"/>
      <c r="D59" s="194"/>
      <c r="E59" s="194"/>
      <c r="F59" s="194"/>
      <c r="G59" s="192"/>
      <c r="H59" s="192"/>
      <c r="I59" s="195"/>
      <c r="J59" s="194"/>
      <c r="K59" s="196"/>
      <c r="L59" s="195"/>
    </row>
    <row r="60" spans="1:12" x14ac:dyDescent="0.25">
      <c r="A60" s="192"/>
      <c r="B60" s="1"/>
      <c r="C60" s="192"/>
      <c r="D60" s="194"/>
      <c r="E60" s="194"/>
      <c r="F60" s="194"/>
      <c r="G60" s="192"/>
      <c r="H60" s="192"/>
      <c r="I60" s="195"/>
      <c r="J60" s="194"/>
      <c r="K60" s="196"/>
      <c r="L60" s="195"/>
    </row>
    <row r="61" spans="1:12" x14ac:dyDescent="0.25">
      <c r="A61" s="192"/>
      <c r="B61" s="1"/>
      <c r="C61" s="192"/>
      <c r="D61" s="194"/>
      <c r="E61" s="194"/>
      <c r="F61" s="194"/>
      <c r="G61" s="192"/>
      <c r="H61" s="192"/>
      <c r="I61" s="195"/>
      <c r="J61" s="194"/>
      <c r="K61" s="196"/>
      <c r="L61" s="195"/>
    </row>
    <row r="62" spans="1:12" x14ac:dyDescent="0.25">
      <c r="A62" s="192"/>
      <c r="B62" s="1"/>
      <c r="C62" s="192"/>
      <c r="D62" s="194"/>
      <c r="E62" s="194"/>
      <c r="F62" s="194"/>
      <c r="G62" s="192"/>
      <c r="H62" s="192"/>
      <c r="I62" s="195"/>
      <c r="J62" s="194"/>
      <c r="K62" s="196"/>
      <c r="L62" s="195"/>
    </row>
    <row r="63" spans="1:12" x14ac:dyDescent="0.25">
      <c r="A63" s="192"/>
      <c r="B63" s="1"/>
      <c r="C63" s="192"/>
      <c r="D63" s="194"/>
      <c r="E63" s="194"/>
      <c r="F63" s="194"/>
      <c r="G63" s="192"/>
      <c r="H63" s="192"/>
      <c r="I63" s="195"/>
      <c r="J63" s="194"/>
      <c r="K63" s="196"/>
      <c r="L63" s="195"/>
    </row>
    <row r="64" spans="1:12" x14ac:dyDescent="0.25">
      <c r="A64" s="192"/>
      <c r="B64" s="1"/>
      <c r="C64" s="192"/>
      <c r="D64" s="194"/>
      <c r="E64" s="194"/>
      <c r="F64" s="194"/>
      <c r="G64" s="192"/>
      <c r="H64" s="192"/>
      <c r="I64" s="195"/>
      <c r="J64" s="194"/>
      <c r="K64" s="196"/>
      <c r="L64" s="195"/>
    </row>
    <row r="65" spans="1:12" x14ac:dyDescent="0.25">
      <c r="A65" s="192"/>
      <c r="B65" s="1"/>
      <c r="C65" s="192"/>
      <c r="D65" s="194"/>
      <c r="E65" s="194"/>
      <c r="F65" s="194"/>
      <c r="G65" s="192"/>
      <c r="H65" s="192"/>
      <c r="I65" s="195"/>
      <c r="J65" s="194"/>
      <c r="K65" s="196"/>
      <c r="L65" s="195"/>
    </row>
    <row r="66" spans="1:12" x14ac:dyDescent="0.25">
      <c r="A66" s="192"/>
      <c r="B66" s="1"/>
      <c r="C66" s="192"/>
      <c r="D66" s="194"/>
      <c r="E66" s="194"/>
      <c r="F66" s="194"/>
      <c r="G66" s="192"/>
      <c r="H66" s="192"/>
      <c r="I66" s="195"/>
      <c r="J66" s="194"/>
      <c r="K66" s="196"/>
      <c r="L66" s="195"/>
    </row>
    <row r="67" spans="1:12" x14ac:dyDescent="0.25">
      <c r="A67" s="192"/>
      <c r="B67" s="1"/>
      <c r="C67" s="192"/>
      <c r="D67" s="194"/>
      <c r="E67" s="194"/>
      <c r="F67" s="194"/>
      <c r="G67" s="192"/>
      <c r="H67" s="192"/>
      <c r="I67" s="195"/>
      <c r="J67" s="194"/>
      <c r="K67" s="196"/>
      <c r="L67" s="195"/>
    </row>
    <row r="68" spans="1:12" x14ac:dyDescent="0.25">
      <c r="A68" s="192"/>
      <c r="B68" s="1"/>
      <c r="C68" s="192"/>
      <c r="D68" s="194"/>
      <c r="E68" s="194"/>
      <c r="F68" s="194"/>
      <c r="G68" s="192"/>
      <c r="H68" s="192"/>
      <c r="I68" s="195"/>
      <c r="J68" s="194"/>
      <c r="K68" s="196"/>
      <c r="L68" s="195"/>
    </row>
    <row r="69" spans="1:12" x14ac:dyDescent="0.25">
      <c r="A69" s="192"/>
      <c r="B69" s="1"/>
      <c r="C69" s="192"/>
      <c r="D69" s="194"/>
      <c r="E69" s="194"/>
      <c r="F69" s="194"/>
      <c r="G69" s="192"/>
      <c r="H69" s="192"/>
      <c r="I69" s="195"/>
      <c r="J69" s="194"/>
      <c r="K69" s="196"/>
      <c r="L69" s="195"/>
    </row>
    <row r="70" spans="1:12" x14ac:dyDescent="0.25">
      <c r="A70" s="192"/>
      <c r="B70" s="1"/>
      <c r="C70" s="192"/>
      <c r="D70" s="194"/>
      <c r="E70" s="194"/>
      <c r="F70" s="194"/>
      <c r="G70" s="192"/>
      <c r="H70" s="192"/>
      <c r="I70" s="195"/>
      <c r="J70" s="194"/>
      <c r="K70" s="196"/>
      <c r="L70" s="195"/>
    </row>
    <row r="71" spans="1:12" x14ac:dyDescent="0.25">
      <c r="A71" s="192"/>
      <c r="B71" s="1"/>
      <c r="C71" s="192"/>
      <c r="D71" s="194"/>
      <c r="E71" s="194"/>
      <c r="F71" s="194"/>
      <c r="G71" s="192"/>
      <c r="H71" s="192"/>
      <c r="I71" s="195"/>
      <c r="J71" s="194"/>
      <c r="K71" s="196"/>
      <c r="L71" s="195"/>
    </row>
    <row r="72" spans="1:12" x14ac:dyDescent="0.25">
      <c r="A72" s="192"/>
      <c r="B72" s="1"/>
      <c r="C72" s="192"/>
      <c r="D72" s="194"/>
      <c r="E72" s="194"/>
      <c r="F72" s="194"/>
      <c r="G72" s="192"/>
      <c r="H72" s="192"/>
      <c r="I72" s="195"/>
      <c r="J72" s="194"/>
      <c r="K72" s="196"/>
      <c r="L72" s="195"/>
    </row>
    <row r="73" spans="1:12" x14ac:dyDescent="0.25">
      <c r="A73" s="192"/>
      <c r="B73" s="1"/>
      <c r="C73" s="192"/>
      <c r="D73" s="194"/>
      <c r="E73" s="194"/>
      <c r="F73" s="194"/>
      <c r="G73" s="192"/>
      <c r="H73" s="192"/>
      <c r="I73" s="195"/>
      <c r="J73" s="194"/>
      <c r="K73" s="196"/>
      <c r="L73" s="195"/>
    </row>
    <row r="74" spans="1:12" x14ac:dyDescent="0.25">
      <c r="A74" s="192"/>
      <c r="B74" s="1"/>
      <c r="C74" s="192"/>
      <c r="D74" s="194"/>
      <c r="E74" s="194"/>
      <c r="F74" s="194"/>
      <c r="G74" s="192"/>
      <c r="H74" s="192"/>
      <c r="I74" s="195"/>
      <c r="J74" s="194"/>
      <c r="K74" s="196"/>
      <c r="L74" s="195"/>
    </row>
    <row r="75" spans="1:12" x14ac:dyDescent="0.25">
      <c r="A75" s="192"/>
      <c r="B75" s="1"/>
      <c r="C75" s="192"/>
      <c r="D75" s="194"/>
      <c r="E75" s="194"/>
      <c r="F75" s="194"/>
      <c r="G75" s="192"/>
      <c r="H75" s="192"/>
      <c r="I75" s="195"/>
      <c r="J75" s="194"/>
      <c r="K75" s="196"/>
      <c r="L75" s="195"/>
    </row>
    <row r="76" spans="1:12" x14ac:dyDescent="0.25">
      <c r="A76" s="192"/>
      <c r="B76" s="1"/>
      <c r="C76" s="192"/>
      <c r="D76" s="194"/>
      <c r="E76" s="194"/>
      <c r="F76" s="194"/>
      <c r="G76" s="192"/>
      <c r="H76" s="192"/>
      <c r="I76" s="195"/>
      <c r="J76" s="194"/>
      <c r="K76" s="196"/>
      <c r="L76" s="195"/>
    </row>
    <row r="77" spans="1:12" x14ac:dyDescent="0.25">
      <c r="A77" s="192"/>
      <c r="B77" s="1"/>
      <c r="C77" s="192"/>
      <c r="D77" s="194"/>
      <c r="E77" s="194"/>
      <c r="F77" s="194"/>
      <c r="G77" s="192"/>
      <c r="H77" s="192"/>
      <c r="I77" s="195"/>
      <c r="J77" s="194"/>
      <c r="K77" s="196"/>
      <c r="L77" s="195"/>
    </row>
    <row r="78" spans="1:12" x14ac:dyDescent="0.25">
      <c r="A78" s="192"/>
      <c r="B78" s="1"/>
      <c r="C78" s="192"/>
      <c r="D78" s="194"/>
      <c r="E78" s="194"/>
      <c r="F78" s="194"/>
      <c r="G78" s="192"/>
      <c r="H78" s="192"/>
      <c r="I78" s="195"/>
      <c r="J78" s="194"/>
      <c r="K78" s="196"/>
      <c r="L78" s="195"/>
    </row>
    <row r="79" spans="1:12" x14ac:dyDescent="0.25">
      <c r="A79" s="192"/>
      <c r="B79" s="1"/>
      <c r="C79" s="192"/>
      <c r="D79" s="194"/>
      <c r="E79" s="194"/>
      <c r="F79" s="194"/>
      <c r="G79" s="192"/>
      <c r="H79" s="192"/>
      <c r="I79" s="195"/>
      <c r="J79" s="194"/>
      <c r="K79" s="196"/>
      <c r="L79" s="195"/>
    </row>
    <row r="80" spans="1:12" x14ac:dyDescent="0.25">
      <c r="A80" s="192"/>
      <c r="B80" s="1"/>
      <c r="C80" s="192"/>
      <c r="D80" s="194"/>
      <c r="E80" s="194"/>
      <c r="F80" s="194"/>
      <c r="G80" s="192"/>
      <c r="H80" s="192"/>
      <c r="I80" s="195"/>
      <c r="J80" s="194"/>
      <c r="K80" s="196"/>
      <c r="L80" s="195"/>
    </row>
    <row r="81" spans="1:12" x14ac:dyDescent="0.25">
      <c r="A81" s="192"/>
      <c r="B81" s="1"/>
      <c r="C81" s="192"/>
      <c r="D81" s="194"/>
      <c r="E81" s="194"/>
      <c r="F81" s="194"/>
      <c r="G81" s="192"/>
      <c r="H81" s="192"/>
      <c r="I81" s="195"/>
      <c r="J81" s="194"/>
      <c r="K81" s="196"/>
      <c r="L81" s="195"/>
    </row>
    <row r="82" spans="1:12" x14ac:dyDescent="0.25">
      <c r="A82" s="192"/>
      <c r="B82" s="1"/>
      <c r="C82" s="192"/>
      <c r="D82" s="194"/>
      <c r="E82" s="194"/>
      <c r="F82" s="194"/>
      <c r="G82" s="192"/>
      <c r="H82" s="192"/>
      <c r="I82" s="195"/>
      <c r="J82" s="194"/>
      <c r="K82" s="196"/>
      <c r="L82" s="195"/>
    </row>
    <row r="83" spans="1:12" x14ac:dyDescent="0.25">
      <c r="A83" s="192"/>
      <c r="B83" s="1"/>
      <c r="C83" s="192"/>
      <c r="D83" s="194"/>
      <c r="E83" s="194"/>
      <c r="F83" s="194"/>
      <c r="G83" s="192"/>
      <c r="H83" s="192"/>
      <c r="I83" s="195"/>
      <c r="J83" s="194"/>
      <c r="K83" s="196"/>
      <c r="L83" s="195"/>
    </row>
    <row r="84" spans="1:12" x14ac:dyDescent="0.25">
      <c r="A84" s="192"/>
      <c r="B84" s="1"/>
      <c r="C84" s="192"/>
      <c r="D84" s="194"/>
      <c r="E84" s="194"/>
      <c r="F84" s="194"/>
      <c r="G84" s="192"/>
      <c r="H84" s="192"/>
      <c r="I84" s="195"/>
      <c r="J84" s="194"/>
      <c r="K84" s="196"/>
      <c r="L84" s="195"/>
    </row>
    <row r="85" spans="1:12" x14ac:dyDescent="0.25">
      <c r="A85" s="192"/>
      <c r="B85" s="1"/>
      <c r="C85" s="192"/>
      <c r="D85" s="194"/>
      <c r="E85" s="194"/>
      <c r="F85" s="194"/>
      <c r="G85" s="192"/>
      <c r="H85" s="192"/>
      <c r="I85" s="195"/>
      <c r="J85" s="194"/>
      <c r="K85" s="196"/>
      <c r="L85" s="195"/>
    </row>
    <row r="86" spans="1:12" x14ac:dyDescent="0.25">
      <c r="A86" s="192"/>
      <c r="B86" s="1"/>
      <c r="C86" s="192"/>
      <c r="D86" s="194"/>
      <c r="E86" s="194"/>
      <c r="F86" s="194"/>
      <c r="G86" s="192"/>
      <c r="H86" s="192"/>
      <c r="I86" s="195"/>
      <c r="J86" s="194"/>
      <c r="K86" s="196"/>
      <c r="L86" s="195"/>
    </row>
    <row r="87" spans="1:12" x14ac:dyDescent="0.25">
      <c r="A87" s="192"/>
      <c r="B87" s="1"/>
      <c r="C87" s="192"/>
      <c r="D87" s="194"/>
      <c r="E87" s="194"/>
      <c r="F87" s="194"/>
      <c r="G87" s="192"/>
      <c r="H87" s="192"/>
      <c r="I87" s="195"/>
      <c r="J87" s="194"/>
      <c r="K87" s="196"/>
      <c r="L87" s="195"/>
    </row>
    <row r="88" spans="1:12" x14ac:dyDescent="0.25">
      <c r="A88" s="192"/>
      <c r="B88" s="1"/>
      <c r="C88" s="192"/>
      <c r="D88" s="194"/>
      <c r="E88" s="194"/>
      <c r="F88" s="194"/>
      <c r="G88" s="192"/>
      <c r="H88" s="192"/>
      <c r="I88" s="195"/>
      <c r="J88" s="194"/>
      <c r="K88" s="196"/>
      <c r="L88" s="195"/>
    </row>
    <row r="89" spans="1:12" x14ac:dyDescent="0.25">
      <c r="A89" s="192"/>
      <c r="B89" s="1"/>
      <c r="C89" s="192"/>
      <c r="D89" s="194"/>
      <c r="E89" s="194"/>
      <c r="F89" s="194"/>
      <c r="G89" s="192"/>
      <c r="H89" s="192"/>
      <c r="I89" s="195"/>
      <c r="J89" s="194"/>
      <c r="K89" s="196"/>
      <c r="L89" s="195"/>
    </row>
    <row r="90" spans="1:12" x14ac:dyDescent="0.25">
      <c r="A90" s="192"/>
      <c r="B90" s="1"/>
      <c r="C90" s="192"/>
      <c r="D90" s="194"/>
      <c r="E90" s="194"/>
      <c r="F90" s="194"/>
      <c r="G90" s="192"/>
      <c r="H90" s="192"/>
      <c r="I90" s="195"/>
      <c r="J90" s="194"/>
      <c r="K90" s="196"/>
      <c r="L90" s="195"/>
    </row>
    <row r="91" spans="1:12" x14ac:dyDescent="0.25">
      <c r="A91" s="192"/>
      <c r="B91" s="1"/>
      <c r="C91" s="192"/>
      <c r="D91" s="194"/>
      <c r="E91" s="194"/>
      <c r="F91" s="194"/>
      <c r="G91" s="192"/>
      <c r="H91" s="192"/>
      <c r="I91" s="195"/>
      <c r="J91" s="194"/>
      <c r="K91" s="196"/>
      <c r="L91" s="195"/>
    </row>
    <row r="92" spans="1:12" x14ac:dyDescent="0.25">
      <c r="A92" s="192"/>
      <c r="B92" s="1"/>
      <c r="C92" s="192"/>
      <c r="D92" s="194"/>
      <c r="E92" s="194"/>
      <c r="F92" s="194"/>
      <c r="G92" s="192"/>
      <c r="H92" s="192"/>
      <c r="I92" s="195"/>
      <c r="J92" s="194"/>
      <c r="K92" s="196"/>
      <c r="L92" s="195"/>
    </row>
    <row r="93" spans="1:12" x14ac:dyDescent="0.25">
      <c r="A93" s="192"/>
      <c r="B93" s="1"/>
      <c r="C93" s="192"/>
      <c r="D93" s="194"/>
      <c r="E93" s="194"/>
      <c r="F93" s="194"/>
      <c r="G93" s="192"/>
      <c r="H93" s="192"/>
      <c r="I93" s="195"/>
      <c r="J93" s="194"/>
      <c r="K93" s="196"/>
      <c r="L93" s="195"/>
    </row>
    <row r="94" spans="1:12" x14ac:dyDescent="0.25">
      <c r="A94" s="192"/>
      <c r="B94" s="1"/>
      <c r="C94" s="192"/>
      <c r="D94" s="194"/>
      <c r="E94" s="194"/>
      <c r="F94" s="194"/>
      <c r="G94" s="192"/>
      <c r="H94" s="192"/>
      <c r="I94" s="195"/>
      <c r="J94" s="194"/>
      <c r="K94" s="196"/>
      <c r="L94" s="195"/>
    </row>
    <row r="95" spans="1:12" x14ac:dyDescent="0.25">
      <c r="A95" s="192"/>
      <c r="B95" s="1"/>
      <c r="C95" s="192"/>
      <c r="D95" s="194"/>
      <c r="E95" s="194"/>
      <c r="F95" s="194"/>
      <c r="G95" s="192"/>
      <c r="H95" s="192"/>
      <c r="I95" s="195"/>
      <c r="J95" s="194"/>
      <c r="K95" s="196"/>
      <c r="L95" s="195"/>
    </row>
    <row r="96" spans="1:12" x14ac:dyDescent="0.25">
      <c r="A96" s="192"/>
      <c r="B96" s="1"/>
      <c r="C96" s="192"/>
      <c r="D96" s="194"/>
      <c r="E96" s="194"/>
      <c r="F96" s="194"/>
      <c r="G96" s="192"/>
      <c r="H96" s="192"/>
      <c r="I96" s="195"/>
      <c r="J96" s="194"/>
      <c r="K96" s="196"/>
      <c r="L96" s="195"/>
    </row>
    <row r="97" spans="1:12" x14ac:dyDescent="0.25">
      <c r="A97" s="192"/>
      <c r="B97" s="1"/>
      <c r="C97" s="192"/>
      <c r="D97" s="194"/>
      <c r="E97" s="194"/>
      <c r="F97" s="194"/>
      <c r="G97" s="192"/>
      <c r="H97" s="192"/>
      <c r="I97" s="195"/>
      <c r="J97" s="194"/>
      <c r="K97" s="196"/>
      <c r="L97" s="195"/>
    </row>
    <row r="98" spans="1:12" x14ac:dyDescent="0.25">
      <c r="A98" s="192"/>
      <c r="B98" s="1"/>
      <c r="C98" s="192"/>
      <c r="D98" s="194"/>
      <c r="E98" s="194"/>
      <c r="F98" s="194"/>
      <c r="G98" s="192"/>
      <c r="H98" s="192"/>
      <c r="I98" s="195"/>
      <c r="J98" s="194"/>
      <c r="K98" s="196"/>
      <c r="L98" s="195"/>
    </row>
    <row r="99" spans="1:12" x14ac:dyDescent="0.25">
      <c r="A99" s="192"/>
      <c r="B99" s="1"/>
      <c r="C99" s="192"/>
      <c r="D99" s="194"/>
      <c r="E99" s="194"/>
      <c r="F99" s="194"/>
      <c r="G99" s="192"/>
      <c r="H99" s="192"/>
      <c r="I99" s="195"/>
      <c r="J99" s="194"/>
      <c r="K99" s="196"/>
      <c r="L99" s="195"/>
    </row>
    <row r="100" spans="1:12" x14ac:dyDescent="0.25">
      <c r="A100" s="192"/>
      <c r="B100" s="1"/>
      <c r="C100" s="192"/>
      <c r="D100" s="194"/>
      <c r="E100" s="194"/>
      <c r="F100" s="194"/>
      <c r="G100" s="192"/>
      <c r="H100" s="192"/>
      <c r="I100" s="195"/>
      <c r="J100" s="194"/>
      <c r="K100" s="196"/>
      <c r="L100" s="195"/>
    </row>
    <row r="101" spans="1:12" x14ac:dyDescent="0.25">
      <c r="A101" s="192"/>
      <c r="B101" s="1"/>
      <c r="C101" s="192"/>
      <c r="D101" s="194"/>
      <c r="E101" s="194"/>
      <c r="F101" s="194"/>
      <c r="G101" s="192"/>
      <c r="H101" s="192"/>
      <c r="I101" s="195"/>
      <c r="J101" s="194"/>
      <c r="K101" s="196"/>
      <c r="L101" s="195"/>
    </row>
    <row r="102" spans="1:12" x14ac:dyDescent="0.25">
      <c r="A102" s="192"/>
      <c r="B102" s="1"/>
      <c r="C102" s="192"/>
      <c r="D102" s="194"/>
      <c r="E102" s="194"/>
      <c r="F102" s="194"/>
      <c r="G102" s="192"/>
      <c r="H102" s="192"/>
      <c r="I102" s="195"/>
      <c r="J102" s="194"/>
      <c r="K102" s="196"/>
      <c r="L102" s="195"/>
    </row>
    <row r="103" spans="1:12" x14ac:dyDescent="0.25">
      <c r="A103" s="192"/>
      <c r="B103" s="1"/>
      <c r="C103" s="192"/>
      <c r="D103" s="194"/>
      <c r="E103" s="194"/>
      <c r="F103" s="194"/>
      <c r="G103" s="192"/>
      <c r="H103" s="192"/>
      <c r="I103" s="195"/>
      <c r="J103" s="194"/>
      <c r="K103" s="196"/>
      <c r="L103" s="195"/>
    </row>
    <row r="104" spans="1:12" x14ac:dyDescent="0.25">
      <c r="A104" s="192"/>
      <c r="B104" s="1"/>
      <c r="C104" s="192"/>
      <c r="D104" s="194"/>
      <c r="E104" s="194"/>
      <c r="F104" s="194"/>
      <c r="G104" s="192"/>
      <c r="H104" s="192"/>
      <c r="I104" s="195"/>
      <c r="J104" s="194"/>
      <c r="K104" s="196"/>
      <c r="L104" s="195"/>
    </row>
    <row r="105" spans="1:12" x14ac:dyDescent="0.25">
      <c r="A105" s="192"/>
      <c r="B105" s="1"/>
      <c r="C105" s="192"/>
      <c r="D105" s="194"/>
      <c r="E105" s="194"/>
      <c r="F105" s="194"/>
      <c r="G105" s="192"/>
      <c r="H105" s="192"/>
      <c r="I105" s="195"/>
      <c r="J105" s="194"/>
      <c r="K105" s="196"/>
      <c r="L105" s="195"/>
    </row>
    <row r="106" spans="1:12" x14ac:dyDescent="0.25">
      <c r="A106" s="192"/>
      <c r="B106" s="1"/>
      <c r="C106" s="192"/>
      <c r="D106" s="194"/>
      <c r="E106" s="194"/>
      <c r="F106" s="194"/>
      <c r="G106" s="192"/>
      <c r="H106" s="192"/>
      <c r="I106" s="195"/>
      <c r="J106" s="194"/>
      <c r="K106" s="196"/>
      <c r="L106" s="195"/>
    </row>
    <row r="107" spans="1:12" x14ac:dyDescent="0.25">
      <c r="A107" s="192"/>
      <c r="B107" s="1"/>
      <c r="C107" s="192"/>
      <c r="D107" s="194"/>
      <c r="E107" s="194"/>
      <c r="F107" s="194"/>
      <c r="G107" s="192"/>
      <c r="H107" s="192"/>
      <c r="I107" s="195"/>
      <c r="J107" s="194"/>
      <c r="K107" s="196"/>
      <c r="L107" s="195"/>
    </row>
    <row r="108" spans="1:12" x14ac:dyDescent="0.25">
      <c r="A108" s="192"/>
      <c r="B108" s="1"/>
      <c r="C108" s="192"/>
      <c r="D108" s="194"/>
      <c r="E108" s="194"/>
      <c r="F108" s="194"/>
      <c r="G108" s="192"/>
      <c r="H108" s="192"/>
      <c r="I108" s="195"/>
      <c r="J108" s="194"/>
      <c r="K108" s="196"/>
      <c r="L108" s="195"/>
    </row>
    <row r="109" spans="1:12" x14ac:dyDescent="0.25">
      <c r="A109" s="192"/>
      <c r="B109" s="1"/>
      <c r="C109" s="192"/>
      <c r="D109" s="194"/>
      <c r="E109" s="194"/>
      <c r="F109" s="194"/>
      <c r="G109" s="192"/>
      <c r="H109" s="192"/>
      <c r="I109" s="195"/>
      <c r="J109" s="194"/>
      <c r="K109" s="196"/>
      <c r="L109" s="195"/>
    </row>
    <row r="110" spans="1:12" x14ac:dyDescent="0.25">
      <c r="A110" s="192"/>
      <c r="B110" s="1"/>
      <c r="C110" s="192"/>
      <c r="D110" s="194"/>
      <c r="E110" s="194"/>
      <c r="F110" s="194"/>
      <c r="G110" s="192"/>
      <c r="H110" s="192"/>
      <c r="I110" s="195"/>
      <c r="J110" s="194"/>
      <c r="K110" s="196"/>
      <c r="L110" s="195"/>
    </row>
    <row r="111" spans="1:12" x14ac:dyDescent="0.25">
      <c r="A111" s="192"/>
      <c r="B111" s="1"/>
      <c r="C111" s="192"/>
      <c r="D111" s="194"/>
      <c r="E111" s="194"/>
      <c r="F111" s="194"/>
      <c r="G111" s="192"/>
      <c r="H111" s="192"/>
      <c r="I111" s="195"/>
      <c r="J111" s="194"/>
      <c r="K111" s="196"/>
      <c r="L111" s="195"/>
    </row>
    <row r="112" spans="1:12" x14ac:dyDescent="0.25">
      <c r="A112" s="192"/>
      <c r="B112" s="1"/>
      <c r="C112" s="192"/>
      <c r="D112" s="194"/>
      <c r="E112" s="194"/>
      <c r="F112" s="194"/>
      <c r="G112" s="192"/>
      <c r="H112" s="192"/>
      <c r="I112" s="195"/>
      <c r="J112" s="194"/>
      <c r="K112" s="196"/>
      <c r="L112" s="195"/>
    </row>
    <row r="113" spans="1:12" x14ac:dyDescent="0.25">
      <c r="A113" s="192"/>
      <c r="B113" s="1"/>
      <c r="C113" s="192"/>
      <c r="D113" s="194"/>
      <c r="E113" s="194"/>
      <c r="F113" s="194"/>
      <c r="G113" s="192"/>
      <c r="H113" s="192"/>
      <c r="I113" s="195"/>
      <c r="J113" s="194"/>
      <c r="K113" s="196"/>
      <c r="L113" s="195"/>
    </row>
    <row r="114" spans="1:12" x14ac:dyDescent="0.25">
      <c r="A114" s="192"/>
      <c r="B114" s="1"/>
      <c r="C114" s="192"/>
      <c r="D114" s="194"/>
      <c r="E114" s="194"/>
      <c r="F114" s="194"/>
      <c r="G114" s="192"/>
      <c r="H114" s="192"/>
      <c r="I114" s="195"/>
      <c r="J114" s="194"/>
      <c r="K114" s="196"/>
      <c r="L114" s="195"/>
    </row>
    <row r="115" spans="1:12" x14ac:dyDescent="0.25">
      <c r="A115" s="192"/>
      <c r="B115" s="1"/>
      <c r="C115" s="192"/>
      <c r="D115" s="194"/>
      <c r="E115" s="194"/>
      <c r="F115" s="194"/>
      <c r="G115" s="192"/>
      <c r="H115" s="192"/>
      <c r="I115" s="195"/>
      <c r="J115" s="194"/>
      <c r="K115" s="196"/>
      <c r="L115" s="195"/>
    </row>
    <row r="116" spans="1:12" x14ac:dyDescent="0.25">
      <c r="A116" s="192"/>
      <c r="B116" s="1"/>
      <c r="C116" s="192"/>
      <c r="D116" s="194"/>
      <c r="E116" s="194"/>
      <c r="F116" s="194"/>
      <c r="G116" s="192"/>
      <c r="H116" s="192"/>
      <c r="I116" s="195"/>
      <c r="J116" s="194"/>
      <c r="K116" s="196"/>
      <c r="L116" s="195"/>
    </row>
    <row r="117" spans="1:12" x14ac:dyDescent="0.25">
      <c r="A117" s="192"/>
      <c r="B117" s="1"/>
      <c r="C117" s="192"/>
      <c r="D117" s="194"/>
      <c r="E117" s="194"/>
      <c r="F117" s="194"/>
      <c r="G117" s="192"/>
      <c r="H117" s="192"/>
      <c r="I117" s="195"/>
      <c r="J117" s="194"/>
      <c r="K117" s="196"/>
      <c r="L117" s="195"/>
    </row>
    <row r="118" spans="1:12" x14ac:dyDescent="0.25">
      <c r="A118" s="192"/>
      <c r="B118" s="1"/>
      <c r="C118" s="192"/>
      <c r="D118" s="194"/>
      <c r="E118" s="194"/>
      <c r="F118" s="194"/>
      <c r="G118" s="192"/>
      <c r="H118" s="192"/>
      <c r="I118" s="195"/>
      <c r="J118" s="194"/>
      <c r="K118" s="196"/>
      <c r="L118" s="195"/>
    </row>
    <row r="119" spans="1:12" x14ac:dyDescent="0.25">
      <c r="A119" s="192"/>
      <c r="B119" s="1"/>
      <c r="C119" s="192"/>
      <c r="D119" s="194"/>
      <c r="E119" s="194"/>
      <c r="F119" s="194"/>
      <c r="G119" s="192"/>
      <c r="H119" s="192"/>
      <c r="I119" s="195"/>
      <c r="J119" s="194"/>
      <c r="K119" s="196"/>
      <c r="L119" s="195"/>
    </row>
    <row r="120" spans="1:12" x14ac:dyDescent="0.25">
      <c r="A120" s="192"/>
      <c r="B120" s="1"/>
      <c r="C120" s="192"/>
      <c r="D120" s="194"/>
      <c r="E120" s="194"/>
      <c r="F120" s="194"/>
      <c r="G120" s="192"/>
      <c r="H120" s="192"/>
      <c r="I120" s="195"/>
      <c r="J120" s="194"/>
      <c r="K120" s="196"/>
      <c r="L120" s="195"/>
    </row>
    <row r="121" spans="1:12" x14ac:dyDescent="0.25">
      <c r="A121" s="192"/>
      <c r="B121" s="1"/>
      <c r="C121" s="192"/>
      <c r="D121" s="194"/>
      <c r="E121" s="194"/>
      <c r="F121" s="194"/>
      <c r="G121" s="192"/>
      <c r="H121" s="192"/>
      <c r="I121" s="195"/>
      <c r="J121" s="194"/>
      <c r="K121" s="196"/>
      <c r="L121" s="195"/>
    </row>
    <row r="122" spans="1:12" x14ac:dyDescent="0.25">
      <c r="A122" s="192"/>
      <c r="B122" s="1"/>
      <c r="C122" s="192"/>
      <c r="D122" s="194"/>
      <c r="E122" s="194"/>
      <c r="F122" s="194"/>
      <c r="G122" s="192"/>
      <c r="H122" s="192"/>
      <c r="I122" s="195"/>
      <c r="J122" s="194"/>
      <c r="K122" s="196"/>
      <c r="L122" s="195"/>
    </row>
    <row r="123" spans="1:12" x14ac:dyDescent="0.25">
      <c r="A123" s="192"/>
      <c r="B123" s="1"/>
      <c r="C123" s="192"/>
      <c r="D123" s="194"/>
      <c r="E123" s="194"/>
      <c r="F123" s="194"/>
      <c r="G123" s="192"/>
      <c r="H123" s="192"/>
      <c r="I123" s="195"/>
      <c r="J123" s="194"/>
      <c r="K123" s="196"/>
      <c r="L123" s="195"/>
    </row>
    <row r="124" spans="1:12" x14ac:dyDescent="0.25">
      <c r="A124" s="192"/>
      <c r="B124" s="1"/>
      <c r="C124" s="192"/>
      <c r="D124" s="194"/>
      <c r="E124" s="194"/>
      <c r="F124" s="194"/>
      <c r="G124" s="192"/>
      <c r="H124" s="192"/>
      <c r="I124" s="195"/>
      <c r="J124" s="194"/>
      <c r="K124" s="196"/>
      <c r="L124" s="195"/>
    </row>
    <row r="125" spans="1:12" x14ac:dyDescent="0.25">
      <c r="A125" s="192"/>
      <c r="B125" s="1"/>
      <c r="C125" s="192"/>
      <c r="D125" s="194"/>
      <c r="E125" s="194"/>
      <c r="F125" s="194"/>
      <c r="G125" s="192"/>
      <c r="H125" s="192"/>
      <c r="I125" s="195"/>
      <c r="J125" s="194"/>
      <c r="K125" s="196"/>
      <c r="L125" s="195"/>
    </row>
    <row r="126" spans="1:12" x14ac:dyDescent="0.25">
      <c r="A126" s="192"/>
      <c r="B126" s="1"/>
      <c r="C126" s="192"/>
      <c r="D126" s="194"/>
      <c r="E126" s="194"/>
      <c r="F126" s="194"/>
      <c r="G126" s="192"/>
      <c r="H126" s="192"/>
      <c r="I126" s="195"/>
      <c r="J126" s="194"/>
      <c r="K126" s="196"/>
      <c r="L126" s="195"/>
    </row>
    <row r="127" spans="1:12" x14ac:dyDescent="0.25">
      <c r="A127" s="192"/>
      <c r="B127" s="1"/>
      <c r="C127" s="192"/>
      <c r="D127" s="194"/>
      <c r="E127" s="194"/>
      <c r="F127" s="194"/>
      <c r="G127" s="192"/>
      <c r="H127" s="192"/>
      <c r="I127" s="195"/>
      <c r="J127" s="194"/>
      <c r="K127" s="196"/>
      <c r="L127" s="195"/>
    </row>
    <row r="128" spans="1:12" x14ac:dyDescent="0.25">
      <c r="A128" s="192"/>
      <c r="B128" s="1"/>
      <c r="C128" s="192"/>
      <c r="D128" s="194"/>
      <c r="E128" s="194"/>
      <c r="F128" s="194"/>
      <c r="G128" s="192"/>
      <c r="H128" s="192"/>
      <c r="I128" s="195"/>
      <c r="J128" s="194"/>
      <c r="K128" s="196"/>
      <c r="L128" s="195"/>
    </row>
    <row r="129" spans="1:12" x14ac:dyDescent="0.25">
      <c r="A129" s="192"/>
      <c r="B129" s="1"/>
      <c r="C129" s="192"/>
      <c r="D129" s="194"/>
      <c r="E129" s="194"/>
      <c r="F129" s="194"/>
      <c r="G129" s="192"/>
      <c r="H129" s="192"/>
      <c r="I129" s="195"/>
      <c r="J129" s="194"/>
      <c r="K129" s="196"/>
      <c r="L129" s="195"/>
    </row>
    <row r="130" spans="1:12" x14ac:dyDescent="0.25">
      <c r="A130" s="192"/>
      <c r="B130" s="1"/>
      <c r="C130" s="192"/>
      <c r="D130" s="194"/>
      <c r="E130" s="194"/>
      <c r="F130" s="194"/>
      <c r="G130" s="192"/>
      <c r="H130" s="192"/>
      <c r="I130" s="195"/>
      <c r="J130" s="194"/>
      <c r="K130" s="196"/>
      <c r="L130" s="195"/>
    </row>
    <row r="131" spans="1:12" x14ac:dyDescent="0.25">
      <c r="A131" s="192"/>
      <c r="B131" s="1"/>
      <c r="C131" s="192"/>
      <c r="D131" s="194"/>
      <c r="E131" s="194"/>
      <c r="F131" s="194"/>
      <c r="G131" s="192"/>
      <c r="H131" s="192"/>
      <c r="I131" s="195"/>
      <c r="J131" s="194"/>
      <c r="K131" s="196"/>
      <c r="L131" s="195"/>
    </row>
    <row r="132" spans="1:12" x14ac:dyDescent="0.25">
      <c r="A132" s="192"/>
      <c r="B132" s="1"/>
      <c r="C132" s="192"/>
      <c r="D132" s="194"/>
      <c r="E132" s="194"/>
      <c r="F132" s="194"/>
      <c r="G132" s="192"/>
      <c r="H132" s="192"/>
      <c r="I132" s="195"/>
      <c r="J132" s="194"/>
      <c r="K132" s="196"/>
      <c r="L132" s="195"/>
    </row>
    <row r="133" spans="1:12" x14ac:dyDescent="0.25">
      <c r="A133" s="192"/>
      <c r="B133" s="1"/>
      <c r="C133" s="192"/>
      <c r="D133" s="194"/>
      <c r="E133" s="194"/>
      <c r="F133" s="194"/>
      <c r="G133" s="192"/>
      <c r="H133" s="192"/>
      <c r="I133" s="195"/>
      <c r="J133" s="194"/>
      <c r="K133" s="196"/>
      <c r="L133" s="195"/>
    </row>
    <row r="134" spans="1:12" x14ac:dyDescent="0.25">
      <c r="A134" s="192"/>
      <c r="B134" s="1"/>
      <c r="C134" s="192"/>
      <c r="D134" s="194"/>
      <c r="E134" s="194"/>
      <c r="F134" s="194"/>
      <c r="G134" s="192"/>
      <c r="H134" s="192"/>
      <c r="I134" s="195"/>
      <c r="J134" s="194"/>
      <c r="K134" s="196"/>
      <c r="L134" s="195"/>
    </row>
    <row r="135" spans="1:12" x14ac:dyDescent="0.25">
      <c r="A135" s="192"/>
      <c r="B135" s="1"/>
      <c r="C135" s="192"/>
      <c r="D135" s="194"/>
      <c r="E135" s="194"/>
      <c r="F135" s="194"/>
      <c r="G135" s="192"/>
      <c r="H135" s="192"/>
      <c r="I135" s="195"/>
      <c r="J135" s="194"/>
      <c r="K135" s="196"/>
      <c r="L135" s="195"/>
    </row>
    <row r="136" spans="1:12" x14ac:dyDescent="0.25">
      <c r="A136" s="192"/>
      <c r="B136" s="1"/>
      <c r="C136" s="192"/>
      <c r="D136" s="194"/>
      <c r="E136" s="194"/>
      <c r="F136" s="194"/>
      <c r="G136" s="192"/>
      <c r="H136" s="192"/>
      <c r="I136" s="195"/>
      <c r="J136" s="194"/>
      <c r="K136" s="196"/>
      <c r="L136" s="195"/>
    </row>
    <row r="137" spans="1:12" x14ac:dyDescent="0.25">
      <c r="A137" s="192"/>
      <c r="B137" s="1"/>
      <c r="C137" s="192"/>
      <c r="D137" s="194"/>
      <c r="E137" s="194"/>
      <c r="F137" s="194"/>
      <c r="G137" s="192"/>
      <c r="H137" s="192"/>
      <c r="I137" s="195"/>
      <c r="J137" s="194"/>
      <c r="K137" s="196"/>
      <c r="L137" s="195"/>
    </row>
    <row r="138" spans="1:12" x14ac:dyDescent="0.25">
      <c r="A138" s="192"/>
      <c r="B138" s="1"/>
      <c r="C138" s="192"/>
      <c r="D138" s="194"/>
      <c r="E138" s="194"/>
      <c r="F138" s="194"/>
      <c r="G138" s="192"/>
      <c r="H138" s="192"/>
      <c r="I138" s="195"/>
      <c r="J138" s="194"/>
      <c r="K138" s="196"/>
      <c r="L138" s="195"/>
    </row>
    <row r="139" spans="1:12" x14ac:dyDescent="0.25">
      <c r="A139" s="192"/>
      <c r="B139" s="1"/>
      <c r="C139" s="192"/>
      <c r="D139" s="194"/>
      <c r="E139" s="194"/>
      <c r="F139" s="194"/>
      <c r="G139" s="192"/>
      <c r="H139" s="192"/>
      <c r="I139" s="195"/>
      <c r="J139" s="194"/>
      <c r="K139" s="196"/>
      <c r="L139" s="195"/>
    </row>
    <row r="140" spans="1:12" x14ac:dyDescent="0.25">
      <c r="A140" s="192"/>
      <c r="B140" s="1"/>
      <c r="C140" s="192"/>
      <c r="D140" s="194"/>
      <c r="E140" s="194"/>
      <c r="F140" s="194"/>
      <c r="G140" s="192"/>
      <c r="H140" s="192"/>
      <c r="I140" s="195"/>
      <c r="J140" s="194"/>
      <c r="K140" s="196"/>
      <c r="L140" s="195"/>
    </row>
    <row r="141" spans="1:12" x14ac:dyDescent="0.25">
      <c r="A141" s="192"/>
      <c r="B141" s="1"/>
      <c r="C141" s="192"/>
      <c r="D141" s="194"/>
      <c r="E141" s="194"/>
      <c r="F141" s="194"/>
      <c r="G141" s="192"/>
      <c r="H141" s="192"/>
      <c r="I141" s="195"/>
      <c r="J141" s="194"/>
      <c r="K141" s="196"/>
      <c r="L141" s="195"/>
    </row>
    <row r="142" spans="1:12" x14ac:dyDescent="0.25">
      <c r="A142" s="192"/>
      <c r="B142" s="1"/>
      <c r="C142" s="192"/>
      <c r="D142" s="194"/>
      <c r="E142" s="194"/>
      <c r="F142" s="194"/>
      <c r="G142" s="192"/>
      <c r="H142" s="192"/>
      <c r="I142" s="195"/>
      <c r="J142" s="194"/>
      <c r="K142" s="196"/>
      <c r="L142" s="195"/>
    </row>
    <row r="143" spans="1:12" x14ac:dyDescent="0.25">
      <c r="A143" s="192"/>
      <c r="B143" s="1"/>
      <c r="C143" s="192"/>
      <c r="D143" s="194"/>
      <c r="E143" s="194"/>
      <c r="F143" s="194"/>
      <c r="G143" s="192"/>
      <c r="H143" s="192"/>
      <c r="I143" s="195"/>
      <c r="J143" s="194"/>
      <c r="K143" s="196"/>
      <c r="L143" s="195"/>
    </row>
    <row r="144" spans="1:12" x14ac:dyDescent="0.25">
      <c r="A144" s="192"/>
      <c r="B144" s="1"/>
      <c r="C144" s="192"/>
      <c r="D144" s="194"/>
      <c r="E144" s="194"/>
      <c r="F144" s="194"/>
      <c r="G144" s="192"/>
      <c r="H144" s="192"/>
      <c r="I144" s="195"/>
      <c r="J144" s="194"/>
      <c r="K144" s="196"/>
      <c r="L144" s="195"/>
    </row>
    <row r="145" spans="1:12" x14ac:dyDescent="0.25">
      <c r="A145" s="192"/>
      <c r="B145" s="1"/>
      <c r="C145" s="192"/>
      <c r="D145" s="194"/>
      <c r="E145" s="194"/>
      <c r="F145" s="194"/>
      <c r="G145" s="192"/>
      <c r="H145" s="192"/>
      <c r="I145" s="195"/>
      <c r="J145" s="194"/>
      <c r="K145" s="196"/>
      <c r="L145" s="195"/>
    </row>
    <row r="146" spans="1:12" x14ac:dyDescent="0.25">
      <c r="A146" s="192"/>
      <c r="B146" s="1"/>
      <c r="C146" s="192"/>
      <c r="D146" s="194"/>
      <c r="E146" s="194"/>
      <c r="F146" s="194"/>
      <c r="G146" s="192"/>
      <c r="H146" s="192"/>
      <c r="I146" s="195"/>
      <c r="J146" s="194"/>
      <c r="K146" s="196"/>
      <c r="L146" s="195"/>
    </row>
    <row r="147" spans="1:12" x14ac:dyDescent="0.25">
      <c r="A147" s="192"/>
      <c r="B147" s="1"/>
      <c r="C147" s="192"/>
      <c r="D147" s="194"/>
      <c r="E147" s="194"/>
      <c r="F147" s="194"/>
      <c r="G147" s="192"/>
      <c r="H147" s="192"/>
      <c r="I147" s="195"/>
      <c r="J147" s="194"/>
      <c r="K147" s="196"/>
      <c r="L147" s="195"/>
    </row>
    <row r="148" spans="1:12" x14ac:dyDescent="0.25">
      <c r="A148" s="192"/>
      <c r="B148" s="1"/>
      <c r="C148" s="192"/>
      <c r="D148" s="194"/>
      <c r="E148" s="194"/>
      <c r="F148" s="194"/>
      <c r="G148" s="192"/>
      <c r="H148" s="192"/>
      <c r="I148" s="195"/>
      <c r="J148" s="194"/>
      <c r="K148" s="196"/>
      <c r="L148" s="195"/>
    </row>
    <row r="149" spans="1:12" x14ac:dyDescent="0.25">
      <c r="A149" s="192"/>
      <c r="B149" s="1"/>
      <c r="C149" s="192"/>
      <c r="D149" s="194"/>
      <c r="E149" s="194"/>
      <c r="F149" s="194"/>
      <c r="G149" s="192"/>
      <c r="H149" s="192"/>
      <c r="I149" s="195"/>
      <c r="J149" s="194"/>
      <c r="K149" s="196"/>
      <c r="L149" s="195"/>
    </row>
    <row r="150" spans="1:12" x14ac:dyDescent="0.25">
      <c r="A150" s="192"/>
      <c r="B150" s="1"/>
      <c r="C150" s="192"/>
      <c r="D150" s="194"/>
      <c r="E150" s="194"/>
      <c r="F150" s="194"/>
      <c r="G150" s="192"/>
      <c r="H150" s="192"/>
      <c r="I150" s="195"/>
      <c r="J150" s="194"/>
      <c r="K150" s="196"/>
      <c r="L150" s="195"/>
    </row>
    <row r="151" spans="1:12" x14ac:dyDescent="0.25">
      <c r="A151" s="192"/>
      <c r="B151" s="193"/>
      <c r="C151" s="192"/>
      <c r="D151" s="194"/>
      <c r="E151" s="194"/>
      <c r="F151" s="194"/>
      <c r="G151" s="192"/>
      <c r="H151" s="192"/>
      <c r="I151" s="195"/>
      <c r="J151" s="194"/>
      <c r="K151" s="196"/>
      <c r="L151" s="195"/>
    </row>
    <row r="152" spans="1:12" x14ac:dyDescent="0.25">
      <c r="A152" s="192"/>
      <c r="B152" s="193"/>
      <c r="C152" s="192"/>
      <c r="D152" s="194"/>
      <c r="E152" s="194"/>
      <c r="F152" s="194"/>
      <c r="G152" s="192"/>
      <c r="H152" s="192"/>
      <c r="I152" s="195"/>
      <c r="J152" s="194"/>
      <c r="K152" s="196"/>
      <c r="L152" s="195"/>
    </row>
    <row r="153" spans="1:12" x14ac:dyDescent="0.25">
      <c r="A153" s="192"/>
      <c r="B153" s="193"/>
      <c r="C153" s="192"/>
      <c r="D153" s="194"/>
      <c r="E153" s="194"/>
      <c r="F153" s="194"/>
      <c r="G153" s="192"/>
      <c r="H153" s="192"/>
      <c r="I153" s="195"/>
      <c r="J153" s="194"/>
      <c r="K153" s="196"/>
      <c r="L153" s="195"/>
    </row>
    <row r="154" spans="1:12" x14ac:dyDescent="0.25">
      <c r="A154" s="192"/>
      <c r="B154" s="193"/>
      <c r="C154" s="192"/>
      <c r="D154" s="194"/>
      <c r="E154" s="194"/>
      <c r="F154" s="194"/>
      <c r="G154" s="192"/>
      <c r="H154" s="192"/>
      <c r="I154" s="195"/>
      <c r="J154" s="194"/>
      <c r="K154" s="196"/>
      <c r="L154" s="195"/>
    </row>
    <row r="155" spans="1:12" x14ac:dyDescent="0.25">
      <c r="A155" s="192"/>
      <c r="B155" s="193"/>
      <c r="C155" s="192"/>
      <c r="D155" s="194"/>
      <c r="E155" s="194"/>
      <c r="F155" s="194"/>
      <c r="G155" s="192"/>
      <c r="H155" s="192"/>
      <c r="I155" s="195"/>
      <c r="J155" s="194"/>
      <c r="K155" s="196"/>
      <c r="L155" s="195"/>
    </row>
    <row r="156" spans="1:12" x14ac:dyDescent="0.25">
      <c r="A156" s="192"/>
      <c r="B156" s="193"/>
      <c r="C156" s="192"/>
      <c r="D156" s="194"/>
      <c r="E156" s="194"/>
      <c r="F156" s="194"/>
      <c r="G156" s="192"/>
      <c r="H156" s="192"/>
      <c r="I156" s="195"/>
      <c r="J156" s="194"/>
      <c r="K156" s="196"/>
      <c r="L156" s="195"/>
    </row>
    <row r="157" spans="1:12" x14ac:dyDescent="0.25">
      <c r="A157" s="192"/>
      <c r="B157" s="193"/>
      <c r="C157" s="192"/>
      <c r="D157" s="194"/>
      <c r="E157" s="194"/>
      <c r="F157" s="194"/>
      <c r="G157" s="192"/>
      <c r="H157" s="192"/>
      <c r="I157" s="195"/>
      <c r="J157" s="194"/>
      <c r="K157" s="196"/>
      <c r="L157" s="195"/>
    </row>
    <row r="158" spans="1:12" x14ac:dyDescent="0.25">
      <c r="A158" s="192"/>
      <c r="B158" s="193"/>
      <c r="C158" s="192"/>
      <c r="D158" s="194"/>
      <c r="E158" s="194"/>
      <c r="F158" s="194"/>
      <c r="G158" s="192"/>
      <c r="H158" s="192"/>
      <c r="I158" s="195"/>
      <c r="J158" s="194"/>
      <c r="K158" s="196"/>
      <c r="L158" s="195"/>
    </row>
    <row r="159" spans="1:12" x14ac:dyDescent="0.25">
      <c r="A159" s="192"/>
      <c r="B159" s="193"/>
      <c r="C159" s="192"/>
      <c r="D159" s="194"/>
      <c r="E159" s="194"/>
      <c r="F159" s="194"/>
      <c r="G159" s="192"/>
      <c r="H159" s="192"/>
      <c r="I159" s="195"/>
      <c r="J159" s="194"/>
      <c r="K159" s="196"/>
      <c r="L159" s="195"/>
    </row>
    <row r="160" spans="1:12" x14ac:dyDescent="0.25">
      <c r="A160" s="192"/>
      <c r="B160" s="193"/>
      <c r="C160" s="192"/>
      <c r="D160" s="194"/>
      <c r="E160" s="194"/>
      <c r="F160" s="194"/>
      <c r="G160" s="192"/>
      <c r="H160" s="192"/>
      <c r="I160" s="195"/>
      <c r="J160" s="194"/>
      <c r="K160" s="196"/>
      <c r="L160" s="195"/>
    </row>
    <row r="161" spans="1:12" x14ac:dyDescent="0.25">
      <c r="A161" s="192"/>
      <c r="B161" s="193"/>
      <c r="C161" s="192"/>
      <c r="D161" s="194"/>
      <c r="E161" s="194"/>
      <c r="F161" s="194"/>
      <c r="G161" s="192"/>
      <c r="H161" s="192"/>
      <c r="I161" s="195"/>
      <c r="J161" s="194"/>
      <c r="K161" s="196"/>
      <c r="L161" s="195"/>
    </row>
    <row r="162" spans="1:12" x14ac:dyDescent="0.25">
      <c r="A162" s="192"/>
      <c r="B162" s="193"/>
      <c r="C162" s="192"/>
      <c r="D162" s="194"/>
      <c r="E162" s="194"/>
      <c r="F162" s="194"/>
      <c r="G162" s="192"/>
      <c r="H162" s="192"/>
      <c r="I162" s="195"/>
      <c r="J162" s="194"/>
      <c r="K162" s="196"/>
      <c r="L162" s="195"/>
    </row>
    <row r="163" spans="1:12" x14ac:dyDescent="0.25">
      <c r="A163" s="192"/>
      <c r="B163" s="193"/>
      <c r="C163" s="192"/>
      <c r="D163" s="194"/>
      <c r="E163" s="194"/>
      <c r="F163" s="194"/>
      <c r="G163" s="192"/>
      <c r="H163" s="192"/>
      <c r="I163" s="195"/>
      <c r="J163" s="194"/>
      <c r="K163" s="196"/>
      <c r="L163" s="195"/>
    </row>
    <row r="164" spans="1:12" x14ac:dyDescent="0.25">
      <c r="A164" s="192"/>
      <c r="B164" s="193"/>
      <c r="C164" s="192"/>
      <c r="D164" s="194"/>
      <c r="E164" s="194"/>
      <c r="F164" s="194"/>
      <c r="G164" s="192"/>
      <c r="H164" s="192"/>
      <c r="I164" s="195"/>
      <c r="J164" s="194"/>
      <c r="K164" s="196"/>
      <c r="L164" s="195"/>
    </row>
    <row r="165" spans="1:12" x14ac:dyDescent="0.25">
      <c r="A165" s="192"/>
      <c r="B165" s="193"/>
      <c r="C165" s="192"/>
      <c r="D165" s="194"/>
      <c r="E165" s="194"/>
      <c r="F165" s="194"/>
      <c r="G165" s="192"/>
      <c r="H165" s="192"/>
      <c r="I165" s="195"/>
      <c r="J165" s="194"/>
      <c r="K165" s="196"/>
      <c r="L165" s="195"/>
    </row>
    <row r="166" spans="1:12" x14ac:dyDescent="0.25">
      <c r="A166" s="192"/>
      <c r="B166" s="193"/>
      <c r="C166" s="192"/>
      <c r="D166" s="194"/>
      <c r="E166" s="194"/>
      <c r="F166" s="194"/>
      <c r="G166" s="192"/>
      <c r="H166" s="192"/>
      <c r="I166" s="195"/>
      <c r="J166" s="194"/>
      <c r="K166" s="196"/>
      <c r="L166" s="195"/>
    </row>
    <row r="167" spans="1:12" x14ac:dyDescent="0.25">
      <c r="A167" s="192"/>
      <c r="B167" s="193"/>
      <c r="C167" s="192"/>
      <c r="D167" s="194"/>
      <c r="E167" s="194"/>
      <c r="F167" s="194"/>
      <c r="G167" s="192"/>
      <c r="H167" s="192"/>
      <c r="I167" s="195"/>
      <c r="J167" s="194"/>
      <c r="K167" s="196"/>
      <c r="L167" s="195"/>
    </row>
    <row r="168" spans="1:12" x14ac:dyDescent="0.25">
      <c r="A168" s="192"/>
      <c r="B168" s="193"/>
      <c r="C168" s="192"/>
      <c r="D168" s="194"/>
      <c r="E168" s="194"/>
      <c r="F168" s="194"/>
      <c r="G168" s="192"/>
      <c r="H168" s="192"/>
      <c r="I168" s="195"/>
      <c r="J168" s="194"/>
      <c r="K168" s="196"/>
      <c r="L168" s="195"/>
    </row>
    <row r="169" spans="1:12" x14ac:dyDescent="0.25">
      <c r="A169" s="192"/>
      <c r="B169" s="193"/>
      <c r="C169" s="192"/>
      <c r="D169" s="194"/>
      <c r="E169" s="194"/>
      <c r="F169" s="194"/>
      <c r="G169" s="192"/>
      <c r="H169" s="192"/>
      <c r="I169" s="195"/>
      <c r="J169" s="194"/>
      <c r="K169" s="196"/>
      <c r="L169" s="195"/>
    </row>
    <row r="170" spans="1:12" x14ac:dyDescent="0.25">
      <c r="A170" s="192"/>
      <c r="B170" s="193"/>
      <c r="C170" s="192"/>
      <c r="D170" s="194"/>
      <c r="E170" s="194"/>
      <c r="F170" s="194"/>
      <c r="G170" s="192"/>
      <c r="H170" s="192"/>
      <c r="I170" s="195"/>
      <c r="J170" s="194"/>
      <c r="K170" s="196"/>
      <c r="L170" s="195"/>
    </row>
    <row r="171" spans="1:12" x14ac:dyDescent="0.25">
      <c r="A171" s="192"/>
      <c r="B171" s="193"/>
      <c r="C171" s="192"/>
      <c r="D171" s="194"/>
      <c r="E171" s="194"/>
      <c r="F171" s="194"/>
      <c r="G171" s="192"/>
      <c r="H171" s="192"/>
      <c r="I171" s="195"/>
      <c r="J171" s="194"/>
      <c r="K171" s="196"/>
      <c r="L171" s="195"/>
    </row>
    <row r="172" spans="1:12" x14ac:dyDescent="0.25">
      <c r="A172" s="192"/>
      <c r="B172" s="193"/>
      <c r="C172" s="192"/>
      <c r="D172" s="194"/>
      <c r="E172" s="194"/>
      <c r="F172" s="194"/>
      <c r="G172" s="192"/>
      <c r="H172" s="192"/>
      <c r="I172" s="195"/>
      <c r="J172" s="194"/>
      <c r="K172" s="196"/>
      <c r="L172" s="195"/>
    </row>
    <row r="173" spans="1:12" x14ac:dyDescent="0.25">
      <c r="A173" s="192"/>
      <c r="B173" s="193"/>
      <c r="C173" s="192"/>
      <c r="D173" s="194"/>
      <c r="E173" s="194"/>
      <c r="F173" s="194"/>
      <c r="G173" s="192"/>
      <c r="H173" s="192"/>
      <c r="I173" s="195"/>
      <c r="J173" s="194"/>
      <c r="K173" s="196"/>
      <c r="L173" s="195"/>
    </row>
    <row r="174" spans="1:12" x14ac:dyDescent="0.25">
      <c r="A174" s="192"/>
      <c r="B174" s="193"/>
      <c r="C174" s="192"/>
      <c r="D174" s="194"/>
      <c r="E174" s="194"/>
      <c r="F174" s="194"/>
      <c r="G174" s="192"/>
      <c r="H174" s="192"/>
      <c r="I174" s="195"/>
      <c r="J174" s="194"/>
      <c r="K174" s="196"/>
      <c r="L174" s="195"/>
    </row>
    <row r="175" spans="1:12" x14ac:dyDescent="0.25">
      <c r="A175" s="192"/>
      <c r="B175" s="193"/>
      <c r="C175" s="192"/>
      <c r="D175" s="194"/>
      <c r="E175" s="194"/>
      <c r="F175" s="194"/>
      <c r="G175" s="192"/>
      <c r="H175" s="192"/>
      <c r="I175" s="195"/>
      <c r="J175" s="194"/>
      <c r="K175" s="196"/>
      <c r="L175" s="195"/>
    </row>
    <row r="176" spans="1:12" x14ac:dyDescent="0.25">
      <c r="A176" s="192"/>
      <c r="B176" s="193"/>
      <c r="C176" s="192"/>
      <c r="D176" s="194"/>
      <c r="E176" s="194"/>
      <c r="F176" s="194"/>
      <c r="G176" s="192"/>
      <c r="H176" s="192"/>
      <c r="I176" s="195"/>
      <c r="J176" s="194"/>
      <c r="K176" s="196"/>
      <c r="L176" s="195"/>
    </row>
    <row r="177" spans="1:12" x14ac:dyDescent="0.25">
      <c r="A177" s="192"/>
      <c r="B177" s="193"/>
      <c r="C177" s="192"/>
      <c r="D177" s="194"/>
      <c r="E177" s="194"/>
      <c r="F177" s="194"/>
      <c r="G177" s="192"/>
      <c r="H177" s="192"/>
      <c r="I177" s="195"/>
      <c r="J177" s="194"/>
      <c r="K177" s="196"/>
      <c r="L177" s="195"/>
    </row>
    <row r="178" spans="1:12" x14ac:dyDescent="0.25">
      <c r="A178" s="192"/>
      <c r="B178" s="193"/>
      <c r="C178" s="192"/>
      <c r="D178" s="194"/>
      <c r="E178" s="194"/>
      <c r="F178" s="194"/>
      <c r="G178" s="192"/>
      <c r="H178" s="192"/>
      <c r="I178" s="195"/>
      <c r="J178" s="194"/>
      <c r="K178" s="196"/>
      <c r="L178" s="195"/>
    </row>
    <row r="179" spans="1:12" x14ac:dyDescent="0.25">
      <c r="A179" s="192"/>
      <c r="B179" s="193"/>
      <c r="C179" s="192"/>
      <c r="D179" s="194"/>
      <c r="E179" s="194"/>
      <c r="F179" s="194"/>
      <c r="G179" s="192"/>
      <c r="H179" s="192"/>
      <c r="I179" s="195"/>
      <c r="J179" s="194"/>
      <c r="K179" s="196"/>
      <c r="L179" s="195"/>
    </row>
    <row r="180" spans="1:12" x14ac:dyDescent="0.25">
      <c r="A180" s="192"/>
      <c r="B180" s="193"/>
      <c r="C180" s="192"/>
      <c r="D180" s="194"/>
      <c r="E180" s="194"/>
      <c r="F180" s="194"/>
      <c r="G180" s="192"/>
      <c r="H180" s="192"/>
      <c r="I180" s="195"/>
      <c r="J180" s="194"/>
      <c r="K180" s="196"/>
      <c r="L180" s="195"/>
    </row>
    <row r="181" spans="1:12" x14ac:dyDescent="0.25">
      <c r="A181" s="192"/>
      <c r="B181" s="193"/>
      <c r="C181" s="192"/>
      <c r="D181" s="194"/>
      <c r="E181" s="194"/>
      <c r="F181" s="194"/>
      <c r="G181" s="192"/>
      <c r="H181" s="192"/>
      <c r="I181" s="195"/>
      <c r="J181" s="194"/>
      <c r="K181" s="196"/>
      <c r="L181" s="195"/>
    </row>
    <row r="182" spans="1:12" x14ac:dyDescent="0.25">
      <c r="A182" s="192"/>
      <c r="B182" s="193"/>
      <c r="C182" s="192"/>
      <c r="D182" s="194"/>
      <c r="E182" s="194"/>
      <c r="F182" s="194"/>
      <c r="G182" s="192"/>
      <c r="H182" s="192"/>
      <c r="I182" s="195"/>
      <c r="J182" s="194"/>
      <c r="K182" s="196"/>
      <c r="L182" s="195"/>
    </row>
    <row r="183" spans="1:12" x14ac:dyDescent="0.25">
      <c r="A183" s="192"/>
      <c r="B183" s="193"/>
      <c r="C183" s="192"/>
      <c r="D183" s="194"/>
      <c r="E183" s="194"/>
      <c r="F183" s="194"/>
      <c r="G183" s="192"/>
      <c r="H183" s="192"/>
      <c r="I183" s="195"/>
      <c r="J183" s="194"/>
      <c r="K183" s="196"/>
      <c r="L183" s="195"/>
    </row>
    <row r="184" spans="1:12" x14ac:dyDescent="0.25">
      <c r="A184" s="192"/>
      <c r="B184" s="193"/>
      <c r="C184" s="192"/>
      <c r="D184" s="194"/>
      <c r="E184" s="194"/>
      <c r="F184" s="194"/>
      <c r="G184" s="192"/>
      <c r="H184" s="192"/>
      <c r="I184" s="195"/>
      <c r="J184" s="194"/>
      <c r="K184" s="196"/>
      <c r="L184" s="195"/>
    </row>
    <row r="185" spans="1:12" x14ac:dyDescent="0.25">
      <c r="A185" s="192"/>
      <c r="B185" s="193"/>
      <c r="C185" s="192"/>
      <c r="D185" s="194"/>
      <c r="E185" s="194"/>
      <c r="F185" s="194"/>
      <c r="G185" s="192"/>
      <c r="H185" s="192"/>
      <c r="I185" s="195"/>
      <c r="J185" s="194"/>
      <c r="K185" s="196"/>
      <c r="L185" s="195"/>
    </row>
    <row r="186" spans="1:12" x14ac:dyDescent="0.25">
      <c r="A186" s="192"/>
      <c r="B186" s="193"/>
      <c r="C186" s="192"/>
      <c r="D186" s="194"/>
      <c r="E186" s="194"/>
      <c r="F186" s="194"/>
      <c r="G186" s="192"/>
      <c r="H186" s="192"/>
      <c r="I186" s="195"/>
      <c r="J186" s="194"/>
      <c r="K186" s="196"/>
      <c r="L186" s="195"/>
    </row>
    <row r="187" spans="1:12" x14ac:dyDescent="0.25">
      <c r="A187" s="192"/>
      <c r="B187" s="193"/>
      <c r="C187" s="192"/>
      <c r="D187" s="194"/>
      <c r="E187" s="194"/>
      <c r="F187" s="194"/>
      <c r="G187" s="192"/>
      <c r="H187" s="192"/>
      <c r="I187" s="195"/>
      <c r="J187" s="194"/>
      <c r="K187" s="196"/>
      <c r="L187" s="195"/>
    </row>
    <row r="188" spans="1:12" x14ac:dyDescent="0.25">
      <c r="A188" s="192"/>
      <c r="B188" s="193"/>
      <c r="C188" s="192"/>
      <c r="D188" s="194"/>
      <c r="E188" s="194"/>
      <c r="F188" s="194"/>
      <c r="G188" s="192"/>
      <c r="H188" s="192"/>
      <c r="I188" s="195"/>
      <c r="J188" s="194"/>
      <c r="K188" s="196"/>
      <c r="L188" s="195"/>
    </row>
    <row r="189" spans="1:12" x14ac:dyDescent="0.25">
      <c r="A189" s="192"/>
      <c r="B189" s="193"/>
      <c r="C189" s="192"/>
      <c r="D189" s="194"/>
      <c r="E189" s="194"/>
      <c r="F189" s="194"/>
      <c r="G189" s="192"/>
      <c r="H189" s="192"/>
      <c r="I189" s="195"/>
      <c r="J189" s="194"/>
      <c r="K189" s="196"/>
      <c r="L189" s="195"/>
    </row>
    <row r="190" spans="1:12" x14ac:dyDescent="0.25">
      <c r="A190" s="192"/>
      <c r="B190" s="193"/>
      <c r="C190" s="192"/>
      <c r="D190" s="194"/>
      <c r="E190" s="194"/>
      <c r="F190" s="194"/>
      <c r="G190" s="192"/>
      <c r="H190" s="192"/>
      <c r="I190" s="195"/>
      <c r="J190" s="194"/>
      <c r="K190" s="196"/>
      <c r="L190" s="195"/>
    </row>
    <row r="191" spans="1:12" x14ac:dyDescent="0.25">
      <c r="A191" s="192"/>
      <c r="B191" s="193"/>
      <c r="C191" s="192"/>
      <c r="D191" s="194"/>
      <c r="E191" s="194"/>
      <c r="F191" s="194"/>
      <c r="G191" s="192"/>
      <c r="H191" s="192"/>
      <c r="I191" s="195"/>
      <c r="J191" s="194"/>
      <c r="K191" s="196"/>
      <c r="L191" s="195"/>
    </row>
    <row r="192" spans="1:12" x14ac:dyDescent="0.25">
      <c r="A192" s="192"/>
      <c r="B192" s="193"/>
      <c r="C192" s="192"/>
      <c r="D192" s="194"/>
      <c r="E192" s="194"/>
      <c r="F192" s="194"/>
      <c r="G192" s="192"/>
      <c r="H192" s="192"/>
      <c r="I192" s="195"/>
      <c r="J192" s="194"/>
      <c r="K192" s="196"/>
      <c r="L192" s="195"/>
    </row>
    <row r="193" spans="1:12" x14ac:dyDescent="0.25">
      <c r="A193" s="192"/>
      <c r="B193" s="193"/>
      <c r="C193" s="192"/>
      <c r="D193" s="194"/>
      <c r="E193" s="194"/>
      <c r="F193" s="194"/>
      <c r="G193" s="192"/>
      <c r="H193" s="192"/>
      <c r="I193" s="195"/>
      <c r="J193" s="194"/>
      <c r="K193" s="196"/>
      <c r="L193" s="195"/>
    </row>
    <row r="194" spans="1:12" x14ac:dyDescent="0.25">
      <c r="A194" s="192"/>
      <c r="B194" s="193"/>
      <c r="C194" s="192"/>
      <c r="D194" s="194"/>
      <c r="E194" s="194"/>
      <c r="F194" s="194"/>
      <c r="G194" s="192"/>
      <c r="H194" s="192"/>
      <c r="I194" s="195"/>
      <c r="J194" s="194"/>
      <c r="K194" s="196"/>
      <c r="L194" s="195"/>
    </row>
    <row r="195" spans="1:12" x14ac:dyDescent="0.25">
      <c r="A195" s="192"/>
      <c r="B195" s="193"/>
      <c r="C195" s="192"/>
      <c r="D195" s="194"/>
      <c r="E195" s="194"/>
      <c r="F195" s="194"/>
      <c r="G195" s="192"/>
      <c r="H195" s="192"/>
      <c r="I195" s="195"/>
      <c r="J195" s="194"/>
      <c r="K195" s="196"/>
      <c r="L195" s="195"/>
    </row>
    <row r="196" spans="1:12" x14ac:dyDescent="0.25">
      <c r="A196" s="192"/>
      <c r="B196" s="193"/>
      <c r="C196" s="192"/>
      <c r="D196" s="194"/>
      <c r="E196" s="194"/>
      <c r="F196" s="194"/>
      <c r="G196" s="192"/>
      <c r="H196" s="192"/>
      <c r="I196" s="195"/>
      <c r="J196" s="194"/>
      <c r="K196" s="196"/>
      <c r="L196" s="195"/>
    </row>
    <row r="197" spans="1:12" x14ac:dyDescent="0.25">
      <c r="A197" s="192"/>
      <c r="B197" s="193"/>
      <c r="C197" s="192"/>
      <c r="D197" s="194"/>
      <c r="E197" s="194"/>
      <c r="F197" s="194"/>
      <c r="G197" s="192"/>
      <c r="H197" s="192"/>
      <c r="I197" s="195"/>
      <c r="J197" s="194"/>
      <c r="K197" s="196"/>
      <c r="L197" s="195"/>
    </row>
    <row r="198" spans="1:12" x14ac:dyDescent="0.25">
      <c r="A198" s="192"/>
      <c r="B198" s="193"/>
      <c r="C198" s="192"/>
      <c r="D198" s="194"/>
      <c r="E198" s="194"/>
      <c r="F198" s="194"/>
      <c r="G198" s="192"/>
      <c r="H198" s="192"/>
      <c r="I198" s="195"/>
      <c r="J198" s="194"/>
      <c r="K198" s="196"/>
      <c r="L198" s="195"/>
    </row>
    <row r="199" spans="1:12" x14ac:dyDescent="0.25">
      <c r="A199" s="192"/>
      <c r="B199" s="193"/>
      <c r="C199" s="192"/>
      <c r="D199" s="194"/>
      <c r="E199" s="194"/>
      <c r="F199" s="194"/>
      <c r="G199" s="192"/>
      <c r="H199" s="192"/>
      <c r="I199" s="195"/>
      <c r="J199" s="194"/>
      <c r="K199" s="196"/>
      <c r="L199" s="195"/>
    </row>
    <row r="200" spans="1:12" x14ac:dyDescent="0.25">
      <c r="A200" s="192"/>
      <c r="B200" s="193"/>
      <c r="C200" s="192"/>
      <c r="D200" s="194"/>
      <c r="E200" s="194"/>
      <c r="F200" s="194"/>
      <c r="G200" s="192"/>
      <c r="H200" s="192"/>
      <c r="I200" s="195"/>
      <c r="J200" s="194"/>
      <c r="K200" s="196"/>
      <c r="L200" s="195"/>
    </row>
    <row r="201" spans="1:12" x14ac:dyDescent="0.25">
      <c r="A201" s="192"/>
      <c r="B201" s="193"/>
      <c r="C201" s="192"/>
      <c r="D201" s="194"/>
      <c r="E201" s="194"/>
      <c r="F201" s="194"/>
      <c r="G201" s="192"/>
      <c r="H201" s="192"/>
      <c r="I201" s="195"/>
      <c r="J201" s="194"/>
      <c r="K201" s="196"/>
      <c r="L201" s="195"/>
    </row>
    <row r="202" spans="1:12" x14ac:dyDescent="0.25">
      <c r="A202" s="192"/>
      <c r="B202" s="193"/>
      <c r="C202" s="192"/>
      <c r="D202" s="194"/>
      <c r="E202" s="194"/>
      <c r="F202" s="194"/>
      <c r="G202" s="192"/>
      <c r="H202" s="192"/>
      <c r="I202" s="195"/>
      <c r="J202" s="194"/>
      <c r="K202" s="196"/>
      <c r="L202" s="195"/>
    </row>
    <row r="203" spans="1:12" x14ac:dyDescent="0.25">
      <c r="A203" s="192"/>
      <c r="B203" s="193"/>
      <c r="C203" s="192"/>
      <c r="D203" s="194"/>
      <c r="E203" s="194"/>
      <c r="F203" s="194"/>
      <c r="G203" s="192"/>
      <c r="H203" s="192"/>
      <c r="I203" s="195"/>
      <c r="J203" s="194"/>
      <c r="K203" s="196"/>
      <c r="L203" s="195"/>
    </row>
    <row r="204" spans="1:12" x14ac:dyDescent="0.25">
      <c r="A204" s="192"/>
      <c r="B204" s="193"/>
      <c r="C204" s="192"/>
      <c r="D204" s="194"/>
      <c r="E204" s="194"/>
      <c r="F204" s="194"/>
      <c r="G204" s="192"/>
      <c r="H204" s="192"/>
      <c r="I204" s="195"/>
      <c r="J204" s="194"/>
      <c r="K204" s="196"/>
      <c r="L204" s="195"/>
    </row>
    <row r="205" spans="1:12" x14ac:dyDescent="0.25">
      <c r="A205" s="192"/>
      <c r="B205" s="193"/>
      <c r="C205" s="192"/>
      <c r="D205" s="194"/>
      <c r="E205" s="194"/>
      <c r="F205" s="194"/>
      <c r="G205" s="192"/>
      <c r="H205" s="192"/>
      <c r="I205" s="195"/>
      <c r="J205" s="194"/>
      <c r="K205" s="196"/>
      <c r="L205" s="195"/>
    </row>
    <row r="206" spans="1:12" x14ac:dyDescent="0.25">
      <c r="A206" s="192"/>
      <c r="B206" s="193"/>
      <c r="C206" s="192"/>
      <c r="D206" s="194"/>
      <c r="E206" s="194"/>
      <c r="F206" s="194"/>
      <c r="G206" s="192"/>
      <c r="H206" s="192"/>
      <c r="I206" s="195"/>
      <c r="J206" s="194"/>
      <c r="K206" s="196"/>
      <c r="L206" s="195"/>
    </row>
    <row r="207" spans="1:12" x14ac:dyDescent="0.25">
      <c r="A207" s="192"/>
      <c r="B207" s="193"/>
      <c r="C207" s="192"/>
      <c r="D207" s="194"/>
      <c r="E207" s="194"/>
      <c r="F207" s="194"/>
      <c r="G207" s="192"/>
      <c r="H207" s="192"/>
      <c r="I207" s="195"/>
      <c r="J207" s="194"/>
      <c r="K207" s="196"/>
      <c r="L207" s="195"/>
    </row>
    <row r="208" spans="1:12" x14ac:dyDescent="0.25">
      <c r="A208" s="192"/>
      <c r="B208" s="193"/>
      <c r="C208" s="192"/>
      <c r="D208" s="194"/>
      <c r="E208" s="194"/>
      <c r="F208" s="194"/>
      <c r="G208" s="192"/>
      <c r="H208" s="192"/>
      <c r="I208" s="195"/>
      <c r="J208" s="194"/>
      <c r="K208" s="196"/>
      <c r="L208" s="195"/>
    </row>
    <row r="209" spans="1:12" x14ac:dyDescent="0.25">
      <c r="A209" s="192"/>
      <c r="B209" s="193"/>
      <c r="C209" s="192"/>
      <c r="D209" s="194"/>
      <c r="E209" s="194"/>
      <c r="F209" s="194"/>
      <c r="G209" s="192"/>
      <c r="H209" s="192"/>
      <c r="I209" s="195"/>
      <c r="J209" s="194"/>
      <c r="K209" s="196"/>
      <c r="L209" s="195"/>
    </row>
    <row r="210" spans="1:12" x14ac:dyDescent="0.25">
      <c r="A210" s="192"/>
      <c r="B210" s="193"/>
      <c r="C210" s="192"/>
      <c r="D210" s="194"/>
      <c r="E210" s="194"/>
      <c r="F210" s="194"/>
      <c r="G210" s="192"/>
      <c r="H210" s="192"/>
      <c r="I210" s="195"/>
      <c r="J210" s="194"/>
      <c r="K210" s="196"/>
      <c r="L210" s="195"/>
    </row>
    <row r="211" spans="1:12" x14ac:dyDescent="0.25">
      <c r="A211" s="192"/>
      <c r="B211" s="193"/>
      <c r="C211" s="192"/>
      <c r="D211" s="194"/>
      <c r="E211" s="194"/>
      <c r="F211" s="194"/>
      <c r="G211" s="192"/>
      <c r="H211" s="192"/>
      <c r="I211" s="195"/>
      <c r="J211" s="194"/>
      <c r="K211" s="196"/>
      <c r="L211" s="195"/>
    </row>
    <row r="212" spans="1:12" x14ac:dyDescent="0.25">
      <c r="A212" s="192"/>
      <c r="B212" s="193"/>
      <c r="C212" s="192"/>
      <c r="D212" s="194"/>
      <c r="E212" s="194"/>
      <c r="F212" s="194"/>
      <c r="G212" s="192"/>
      <c r="H212" s="192"/>
      <c r="I212" s="195"/>
      <c r="J212" s="194"/>
      <c r="K212" s="196"/>
      <c r="L212" s="195"/>
    </row>
    <row r="213" spans="1:12" x14ac:dyDescent="0.25">
      <c r="A213" s="192"/>
      <c r="B213" s="193"/>
      <c r="C213" s="192"/>
      <c r="D213" s="194"/>
      <c r="E213" s="194"/>
      <c r="F213" s="194"/>
      <c r="G213" s="192"/>
      <c r="H213" s="192"/>
      <c r="I213" s="195"/>
      <c r="J213" s="194"/>
      <c r="K213" s="196"/>
      <c r="L213" s="195"/>
    </row>
    <row r="214" spans="1:12" x14ac:dyDescent="0.25">
      <c r="A214" s="192"/>
      <c r="B214" s="193"/>
      <c r="C214" s="192"/>
      <c r="D214" s="194"/>
      <c r="E214" s="194"/>
      <c r="F214" s="194"/>
      <c r="G214" s="192"/>
      <c r="H214" s="192"/>
      <c r="I214" s="195"/>
      <c r="J214" s="194"/>
      <c r="K214" s="196"/>
      <c r="L214" s="195"/>
    </row>
    <row r="215" spans="1:12" x14ac:dyDescent="0.25">
      <c r="A215" s="192"/>
      <c r="B215" s="193"/>
      <c r="C215" s="192"/>
      <c r="D215" s="194"/>
      <c r="E215" s="194"/>
      <c r="F215" s="194"/>
      <c r="G215" s="192"/>
      <c r="H215" s="192"/>
      <c r="I215" s="195"/>
      <c r="J215" s="194"/>
      <c r="K215" s="196"/>
      <c r="L215" s="195"/>
    </row>
    <row r="216" spans="1:12" x14ac:dyDescent="0.25">
      <c r="A216" s="192"/>
      <c r="B216" s="193"/>
      <c r="C216" s="192"/>
      <c r="D216" s="194"/>
      <c r="E216" s="194"/>
      <c r="F216" s="194"/>
      <c r="G216" s="192"/>
      <c r="H216" s="192"/>
      <c r="I216" s="195"/>
      <c r="J216" s="194"/>
      <c r="K216" s="196"/>
      <c r="L216" s="195"/>
    </row>
    <row r="217" spans="1:12" x14ac:dyDescent="0.25">
      <c r="A217" s="192"/>
      <c r="B217" s="193"/>
      <c r="C217" s="192"/>
      <c r="D217" s="194"/>
      <c r="E217" s="194"/>
      <c r="F217" s="194"/>
      <c r="G217" s="192"/>
      <c r="H217" s="192"/>
      <c r="I217" s="195"/>
      <c r="J217" s="194"/>
      <c r="K217" s="196"/>
      <c r="L217" s="195"/>
    </row>
    <row r="218" spans="1:12" x14ac:dyDescent="0.25">
      <c r="A218" s="192"/>
      <c r="B218" s="193"/>
      <c r="C218" s="192"/>
      <c r="D218" s="194"/>
      <c r="E218" s="194"/>
      <c r="F218" s="194"/>
      <c r="G218" s="192"/>
      <c r="H218" s="192"/>
      <c r="I218" s="195"/>
      <c r="J218" s="194"/>
      <c r="K218" s="196"/>
      <c r="L218" s="195"/>
    </row>
    <row r="219" spans="1:12" x14ac:dyDescent="0.25">
      <c r="A219" s="192"/>
      <c r="B219" s="193"/>
      <c r="C219" s="192"/>
      <c r="D219" s="194"/>
      <c r="E219" s="194"/>
      <c r="F219" s="194"/>
      <c r="G219" s="192"/>
      <c r="H219" s="192"/>
      <c r="I219" s="195"/>
      <c r="J219" s="194"/>
      <c r="K219" s="196"/>
      <c r="L219" s="195"/>
    </row>
    <row r="220" spans="1:12" x14ac:dyDescent="0.25">
      <c r="A220" s="192"/>
      <c r="B220" s="193"/>
      <c r="C220" s="192"/>
      <c r="D220" s="194"/>
      <c r="E220" s="194"/>
      <c r="F220" s="194"/>
      <c r="G220" s="192"/>
      <c r="H220" s="192"/>
      <c r="I220" s="195"/>
      <c r="J220" s="194"/>
      <c r="K220" s="196"/>
      <c r="L220" s="195"/>
    </row>
    <row r="221" spans="1:12" x14ac:dyDescent="0.25">
      <c r="A221" s="192"/>
      <c r="B221" s="193"/>
      <c r="C221" s="192"/>
      <c r="D221" s="194"/>
      <c r="E221" s="194"/>
      <c r="F221" s="194"/>
      <c r="G221" s="192"/>
      <c r="H221" s="192"/>
      <c r="I221" s="195"/>
      <c r="J221" s="194"/>
      <c r="K221" s="196"/>
      <c r="L221" s="195"/>
    </row>
    <row r="222" spans="1:12" x14ac:dyDescent="0.25">
      <c r="A222" s="192"/>
      <c r="B222" s="193"/>
      <c r="C222" s="192"/>
      <c r="D222" s="194"/>
      <c r="E222" s="194"/>
      <c r="F222" s="194"/>
      <c r="G222" s="192"/>
      <c r="H222" s="192"/>
      <c r="I222" s="195"/>
      <c r="J222" s="194"/>
      <c r="K222" s="196"/>
      <c r="L222" s="195"/>
    </row>
    <row r="223" spans="1:12" x14ac:dyDescent="0.25">
      <c r="A223" s="192"/>
      <c r="B223" s="193"/>
      <c r="C223" s="192"/>
      <c r="D223" s="194"/>
      <c r="E223" s="194"/>
      <c r="F223" s="194"/>
      <c r="G223" s="192"/>
      <c r="H223" s="192"/>
      <c r="I223" s="195"/>
      <c r="J223" s="194"/>
      <c r="K223" s="196"/>
      <c r="L223" s="195"/>
    </row>
    <row r="224" spans="1:12" x14ac:dyDescent="0.25">
      <c r="A224" s="192"/>
      <c r="B224" s="193"/>
      <c r="C224" s="192"/>
      <c r="D224" s="194"/>
      <c r="E224" s="194"/>
      <c r="F224" s="194"/>
      <c r="G224" s="192"/>
      <c r="H224" s="192"/>
      <c r="I224" s="195"/>
      <c r="J224" s="194"/>
      <c r="K224" s="196"/>
      <c r="L224" s="195"/>
    </row>
    <row r="225" spans="1:12" x14ac:dyDescent="0.25">
      <c r="A225" s="192"/>
      <c r="B225" s="193"/>
      <c r="C225" s="192"/>
      <c r="D225" s="194"/>
      <c r="E225" s="194"/>
      <c r="F225" s="194"/>
      <c r="G225" s="192"/>
      <c r="H225" s="192"/>
      <c r="I225" s="195"/>
      <c r="J225" s="194"/>
      <c r="K225" s="196"/>
      <c r="L225" s="195"/>
    </row>
    <row r="226" spans="1:12" x14ac:dyDescent="0.25">
      <c r="A226" s="192"/>
      <c r="B226" s="193"/>
      <c r="C226" s="192"/>
      <c r="D226" s="194"/>
      <c r="E226" s="194"/>
      <c r="F226" s="194"/>
      <c r="G226" s="192"/>
      <c r="H226" s="192"/>
      <c r="I226" s="195"/>
      <c r="J226" s="194"/>
      <c r="K226" s="196"/>
      <c r="L226" s="195"/>
    </row>
    <row r="227" spans="1:12" x14ac:dyDescent="0.25">
      <c r="A227" s="192"/>
      <c r="B227" s="193"/>
      <c r="C227" s="192"/>
      <c r="D227" s="194"/>
      <c r="E227" s="194"/>
      <c r="F227" s="194"/>
      <c r="G227" s="192"/>
      <c r="H227" s="192"/>
      <c r="I227" s="195"/>
      <c r="J227" s="194"/>
      <c r="K227" s="196"/>
      <c r="L227" s="195"/>
    </row>
    <row r="228" spans="1:12" x14ac:dyDescent="0.25">
      <c r="A228" s="192"/>
      <c r="B228" s="193"/>
      <c r="C228" s="192"/>
      <c r="D228" s="194"/>
      <c r="E228" s="194"/>
      <c r="F228" s="194"/>
      <c r="G228" s="192"/>
      <c r="H228" s="192"/>
      <c r="I228" s="195"/>
      <c r="J228" s="194"/>
      <c r="K228" s="196"/>
      <c r="L228" s="195"/>
    </row>
    <row r="229" spans="1:12" x14ac:dyDescent="0.25">
      <c r="A229" s="192"/>
      <c r="B229" s="193"/>
      <c r="C229" s="192"/>
      <c r="D229" s="194"/>
      <c r="E229" s="194"/>
      <c r="F229" s="194"/>
      <c r="G229" s="192"/>
      <c r="H229" s="192"/>
      <c r="I229" s="195"/>
      <c r="J229" s="194"/>
      <c r="K229" s="196"/>
      <c r="L229" s="195"/>
    </row>
    <row r="230" spans="1:12" x14ac:dyDescent="0.25">
      <c r="A230" s="192"/>
      <c r="B230" s="193"/>
      <c r="C230" s="192"/>
      <c r="D230" s="194"/>
      <c r="E230" s="194"/>
      <c r="F230" s="194"/>
      <c r="G230" s="192"/>
      <c r="H230" s="192"/>
      <c r="I230" s="195"/>
      <c r="J230" s="194"/>
      <c r="K230" s="196"/>
      <c r="L230" s="195"/>
    </row>
    <row r="231" spans="1:12" x14ac:dyDescent="0.25">
      <c r="A231" s="192"/>
      <c r="B231" s="193"/>
      <c r="C231" s="192"/>
      <c r="D231" s="194"/>
      <c r="E231" s="194"/>
      <c r="F231" s="194"/>
      <c r="G231" s="192"/>
      <c r="H231" s="192"/>
      <c r="I231" s="195"/>
      <c r="J231" s="194"/>
      <c r="K231" s="196"/>
      <c r="L231" s="195"/>
    </row>
    <row r="232" spans="1:12" x14ac:dyDescent="0.25">
      <c r="A232" s="192"/>
      <c r="B232" s="193"/>
      <c r="C232" s="192"/>
      <c r="D232" s="194"/>
      <c r="E232" s="194"/>
      <c r="F232" s="194"/>
      <c r="G232" s="192"/>
      <c r="H232" s="192"/>
      <c r="I232" s="195"/>
      <c r="J232" s="194"/>
      <c r="K232" s="196"/>
      <c r="L232" s="195"/>
    </row>
    <row r="233" spans="1:12" x14ac:dyDescent="0.25">
      <c r="A233" s="192"/>
      <c r="B233" s="193"/>
      <c r="C233" s="192"/>
      <c r="D233" s="194"/>
      <c r="E233" s="194"/>
      <c r="F233" s="194"/>
      <c r="G233" s="192"/>
      <c r="H233" s="192"/>
      <c r="I233" s="195"/>
      <c r="J233" s="194"/>
      <c r="K233" s="196"/>
      <c r="L233" s="195"/>
    </row>
    <row r="234" spans="1:12" x14ac:dyDescent="0.25">
      <c r="A234" s="192"/>
      <c r="B234" s="193"/>
      <c r="C234" s="192"/>
      <c r="D234" s="194"/>
      <c r="E234" s="194"/>
      <c r="F234" s="194"/>
      <c r="G234" s="192"/>
      <c r="H234" s="192"/>
      <c r="I234" s="195"/>
      <c r="J234" s="194"/>
      <c r="K234" s="196"/>
      <c r="L234" s="195"/>
    </row>
    <row r="235" spans="1:12" x14ac:dyDescent="0.25">
      <c r="A235" s="192"/>
      <c r="B235" s="193"/>
      <c r="C235" s="192"/>
      <c r="D235" s="194"/>
      <c r="E235" s="194"/>
      <c r="F235" s="194"/>
      <c r="G235" s="192"/>
      <c r="H235" s="192"/>
      <c r="I235" s="195"/>
      <c r="J235" s="194"/>
      <c r="K235" s="196"/>
      <c r="L235" s="195"/>
    </row>
    <row r="236" spans="1:12" x14ac:dyDescent="0.25">
      <c r="A236" s="192"/>
      <c r="B236" s="193"/>
      <c r="C236" s="192"/>
      <c r="D236" s="194"/>
      <c r="E236" s="194"/>
      <c r="F236" s="194"/>
      <c r="G236" s="192"/>
      <c r="H236" s="192"/>
      <c r="I236" s="195"/>
      <c r="J236" s="194"/>
      <c r="K236" s="196"/>
      <c r="L236" s="195"/>
    </row>
    <row r="237" spans="1:12" x14ac:dyDescent="0.25">
      <c r="A237" s="192"/>
      <c r="B237" s="193"/>
      <c r="C237" s="192"/>
      <c r="D237" s="194"/>
      <c r="E237" s="194"/>
      <c r="F237" s="194"/>
      <c r="G237" s="192"/>
      <c r="H237" s="192"/>
      <c r="I237" s="195"/>
      <c r="J237" s="194"/>
      <c r="K237" s="196"/>
      <c r="L237" s="195"/>
    </row>
    <row r="238" spans="1:12" x14ac:dyDescent="0.25">
      <c r="A238" s="192"/>
      <c r="B238" s="193"/>
      <c r="C238" s="192"/>
      <c r="D238" s="194"/>
      <c r="E238" s="194"/>
      <c r="F238" s="194"/>
      <c r="G238" s="192"/>
      <c r="H238" s="192"/>
      <c r="I238" s="195"/>
      <c r="J238" s="194"/>
      <c r="K238" s="196"/>
      <c r="L238" s="195"/>
    </row>
    <row r="239" spans="1:12" x14ac:dyDescent="0.25">
      <c r="A239" s="192"/>
      <c r="B239" s="193"/>
      <c r="C239" s="192"/>
      <c r="D239" s="194"/>
      <c r="E239" s="194"/>
      <c r="F239" s="194"/>
      <c r="G239" s="192"/>
      <c r="H239" s="192"/>
      <c r="I239" s="195"/>
      <c r="J239" s="194"/>
      <c r="K239" s="196"/>
      <c r="L239" s="195"/>
    </row>
    <row r="240" spans="1:12" x14ac:dyDescent="0.25">
      <c r="A240" s="192"/>
      <c r="B240" s="193"/>
      <c r="C240" s="192"/>
      <c r="D240" s="194"/>
      <c r="E240" s="194"/>
      <c r="F240" s="194"/>
      <c r="G240" s="192"/>
      <c r="H240" s="192"/>
      <c r="I240" s="195"/>
      <c r="J240" s="194"/>
      <c r="K240" s="196"/>
      <c r="L240" s="195"/>
    </row>
    <row r="241" spans="1:12" x14ac:dyDescent="0.25">
      <c r="A241" s="192"/>
      <c r="B241" s="193"/>
      <c r="C241" s="192"/>
      <c r="D241" s="194"/>
      <c r="E241" s="194"/>
      <c r="F241" s="194"/>
      <c r="G241" s="192"/>
      <c r="H241" s="192"/>
      <c r="I241" s="195"/>
      <c r="J241" s="194"/>
      <c r="K241" s="196"/>
      <c r="L241" s="195"/>
    </row>
    <row r="242" spans="1:12" x14ac:dyDescent="0.25">
      <c r="A242" s="192"/>
      <c r="B242" s="193"/>
      <c r="C242" s="192"/>
      <c r="D242" s="194"/>
      <c r="E242" s="194"/>
      <c r="F242" s="194"/>
      <c r="G242" s="192"/>
      <c r="H242" s="192"/>
      <c r="I242" s="195"/>
      <c r="J242" s="194"/>
      <c r="K242" s="196"/>
      <c r="L242" s="195"/>
    </row>
    <row r="243" spans="1:12" x14ac:dyDescent="0.25">
      <c r="A243" s="192"/>
      <c r="B243" s="193"/>
      <c r="C243" s="192"/>
      <c r="D243" s="194"/>
      <c r="E243" s="194"/>
      <c r="F243" s="194"/>
      <c r="G243" s="192"/>
      <c r="H243" s="192"/>
      <c r="I243" s="195"/>
      <c r="J243" s="194"/>
      <c r="K243" s="196"/>
      <c r="L243" s="195"/>
    </row>
    <row r="244" spans="1:12" x14ac:dyDescent="0.25">
      <c r="A244" s="192"/>
      <c r="B244" s="193"/>
      <c r="C244" s="192"/>
      <c r="D244" s="194"/>
      <c r="E244" s="194"/>
      <c r="F244" s="194"/>
      <c r="G244" s="192"/>
      <c r="H244" s="192"/>
      <c r="I244" s="195"/>
      <c r="J244" s="194"/>
      <c r="K244" s="196"/>
      <c r="L244" s="195"/>
    </row>
    <row r="245" spans="1:12" x14ac:dyDescent="0.25">
      <c r="A245" s="192"/>
      <c r="B245" s="193"/>
      <c r="C245" s="192"/>
      <c r="D245" s="194"/>
      <c r="E245" s="194"/>
      <c r="F245" s="194"/>
      <c r="G245" s="192"/>
      <c r="H245" s="192"/>
      <c r="I245" s="195"/>
      <c r="J245" s="194"/>
      <c r="K245" s="196"/>
      <c r="L245" s="195"/>
    </row>
    <row r="246" spans="1:12" x14ac:dyDescent="0.25">
      <c r="A246" s="192"/>
      <c r="B246" s="193"/>
      <c r="C246" s="192"/>
      <c r="D246" s="194"/>
      <c r="E246" s="194"/>
      <c r="F246" s="194"/>
      <c r="G246" s="192"/>
      <c r="H246" s="192"/>
      <c r="I246" s="195"/>
      <c r="J246" s="194"/>
      <c r="K246" s="196"/>
      <c r="L246" s="195"/>
    </row>
    <row r="247" spans="1:12" x14ac:dyDescent="0.25">
      <c r="A247" s="192"/>
      <c r="B247" s="193"/>
      <c r="C247" s="192"/>
      <c r="D247" s="194"/>
      <c r="E247" s="194"/>
      <c r="F247" s="194"/>
      <c r="G247" s="192"/>
      <c r="H247" s="192"/>
      <c r="I247" s="195"/>
      <c r="J247" s="194"/>
      <c r="K247" s="196"/>
      <c r="L247" s="195"/>
    </row>
    <row r="248" spans="1:12" x14ac:dyDescent="0.25">
      <c r="A248" s="192"/>
      <c r="B248" s="193"/>
      <c r="C248" s="192"/>
      <c r="D248" s="194"/>
      <c r="E248" s="194"/>
      <c r="F248" s="194"/>
      <c r="G248" s="192"/>
      <c r="H248" s="192"/>
      <c r="I248" s="195"/>
      <c r="J248" s="194"/>
      <c r="K248" s="196"/>
      <c r="L248" s="195"/>
    </row>
    <row r="249" spans="1:12" x14ac:dyDescent="0.25">
      <c r="A249" s="192"/>
      <c r="B249" s="193"/>
      <c r="C249" s="192"/>
      <c r="D249" s="194"/>
      <c r="E249" s="194"/>
      <c r="F249" s="194"/>
      <c r="G249" s="192"/>
      <c r="H249" s="192"/>
      <c r="I249" s="195"/>
      <c r="J249" s="194"/>
      <c r="K249" s="196"/>
      <c r="L249" s="195"/>
    </row>
    <row r="250" spans="1:12" x14ac:dyDescent="0.25">
      <c r="A250" s="192"/>
      <c r="B250" s="193"/>
      <c r="C250" s="192"/>
      <c r="D250" s="194"/>
      <c r="E250" s="194"/>
      <c r="F250" s="194"/>
      <c r="G250" s="192"/>
      <c r="H250" s="192"/>
      <c r="I250" s="195"/>
      <c r="J250" s="194"/>
      <c r="K250" s="196"/>
      <c r="L250" s="195"/>
    </row>
    <row r="251" spans="1:12" x14ac:dyDescent="0.25">
      <c r="A251" s="192"/>
      <c r="B251" s="193"/>
      <c r="C251" s="192"/>
      <c r="D251" s="194"/>
      <c r="E251" s="194"/>
      <c r="F251" s="194"/>
      <c r="G251" s="192"/>
      <c r="H251" s="192"/>
      <c r="I251" s="195"/>
      <c r="J251" s="194"/>
      <c r="K251" s="196"/>
      <c r="L251" s="195"/>
    </row>
    <row r="252" spans="1:12" x14ac:dyDescent="0.25">
      <c r="A252" s="192"/>
      <c r="B252" s="193"/>
      <c r="C252" s="192"/>
      <c r="D252" s="194"/>
      <c r="E252" s="194"/>
      <c r="F252" s="194"/>
      <c r="G252" s="192"/>
      <c r="H252" s="192"/>
      <c r="I252" s="195"/>
      <c r="J252" s="194"/>
      <c r="K252" s="196"/>
      <c r="L252" s="195"/>
    </row>
    <row r="253" spans="1:12" x14ac:dyDescent="0.25">
      <c r="A253" s="192"/>
      <c r="B253" s="193"/>
      <c r="C253" s="192"/>
      <c r="D253" s="194"/>
      <c r="E253" s="194"/>
      <c r="F253" s="194"/>
      <c r="G253" s="192"/>
      <c r="H253" s="192"/>
      <c r="I253" s="195"/>
      <c r="J253" s="194"/>
      <c r="K253" s="196"/>
      <c r="L253" s="195"/>
    </row>
    <row r="254" spans="1:12" x14ac:dyDescent="0.25">
      <c r="A254" s="192"/>
      <c r="B254" s="193"/>
      <c r="C254" s="192"/>
      <c r="D254" s="194"/>
      <c r="E254" s="194"/>
      <c r="F254" s="194"/>
      <c r="G254" s="192"/>
      <c r="H254" s="192"/>
      <c r="I254" s="195"/>
      <c r="J254" s="194"/>
      <c r="K254" s="196"/>
      <c r="L254" s="195"/>
    </row>
    <row r="255" spans="1:12" x14ac:dyDescent="0.25">
      <c r="A255" s="192"/>
      <c r="B255" s="193"/>
      <c r="C255" s="192"/>
      <c r="D255" s="194"/>
      <c r="E255" s="194"/>
      <c r="F255" s="194"/>
      <c r="G255" s="192"/>
      <c r="H255" s="192"/>
      <c r="I255" s="195"/>
      <c r="J255" s="194"/>
      <c r="K255" s="196"/>
      <c r="L255" s="195"/>
    </row>
    <row r="256" spans="1:12" x14ac:dyDescent="0.25">
      <c r="A256" s="192"/>
      <c r="B256" s="193"/>
      <c r="C256" s="192"/>
      <c r="D256" s="194"/>
      <c r="E256" s="194"/>
      <c r="F256" s="194"/>
      <c r="G256" s="192"/>
      <c r="H256" s="192"/>
      <c r="I256" s="195"/>
      <c r="J256" s="194"/>
      <c r="K256" s="196"/>
      <c r="L256" s="195"/>
    </row>
    <row r="257" spans="1:12" x14ac:dyDescent="0.25">
      <c r="A257" s="192"/>
      <c r="B257" s="193"/>
      <c r="C257" s="192"/>
      <c r="D257" s="194"/>
      <c r="E257" s="194"/>
      <c r="F257" s="194"/>
      <c r="G257" s="192"/>
      <c r="H257" s="192"/>
      <c r="I257" s="195"/>
      <c r="J257" s="194"/>
      <c r="K257" s="196"/>
      <c r="L257" s="195"/>
    </row>
    <row r="258" spans="1:12" x14ac:dyDescent="0.25">
      <c r="A258" s="192"/>
      <c r="B258" s="193"/>
      <c r="C258" s="192"/>
      <c r="D258" s="194"/>
      <c r="E258" s="194"/>
      <c r="F258" s="194"/>
      <c r="G258" s="192"/>
      <c r="H258" s="192"/>
      <c r="I258" s="195"/>
      <c r="J258" s="194"/>
      <c r="K258" s="196"/>
      <c r="L258" s="195"/>
    </row>
    <row r="259" spans="1:12" x14ac:dyDescent="0.25">
      <c r="A259" s="192"/>
      <c r="B259" s="193"/>
      <c r="C259" s="192"/>
      <c r="D259" s="194"/>
      <c r="E259" s="194"/>
      <c r="F259" s="194"/>
      <c r="G259" s="192"/>
      <c r="H259" s="192"/>
      <c r="I259" s="195"/>
      <c r="J259" s="194"/>
      <c r="K259" s="196"/>
      <c r="L259" s="195"/>
    </row>
    <row r="260" spans="1:12" x14ac:dyDescent="0.25">
      <c r="A260" s="192"/>
      <c r="B260" s="193"/>
      <c r="C260" s="192"/>
      <c r="D260" s="194"/>
      <c r="E260" s="194"/>
      <c r="F260" s="194"/>
      <c r="G260" s="192"/>
      <c r="H260" s="192"/>
      <c r="I260" s="195"/>
      <c r="J260" s="194"/>
      <c r="K260" s="196"/>
      <c r="L260" s="195"/>
    </row>
    <row r="261" spans="1:12" x14ac:dyDescent="0.25">
      <c r="A261" s="192"/>
      <c r="B261" s="193"/>
      <c r="C261" s="192"/>
      <c r="D261" s="194"/>
      <c r="E261" s="194"/>
      <c r="F261" s="194"/>
      <c r="G261" s="192"/>
      <c r="H261" s="192"/>
      <c r="I261" s="195"/>
      <c r="J261" s="194"/>
      <c r="K261" s="196"/>
      <c r="L261" s="195"/>
    </row>
    <row r="262" spans="1:12" x14ac:dyDescent="0.25">
      <c r="A262" s="192"/>
      <c r="B262" s="193"/>
      <c r="C262" s="192"/>
      <c r="D262" s="194"/>
      <c r="E262" s="194"/>
      <c r="F262" s="194"/>
      <c r="G262" s="192"/>
      <c r="H262" s="192"/>
      <c r="I262" s="195"/>
      <c r="J262" s="194"/>
      <c r="K262" s="196"/>
      <c r="L262" s="195"/>
    </row>
    <row r="263" spans="1:12" x14ac:dyDescent="0.25">
      <c r="A263" s="192"/>
      <c r="B263" s="193"/>
      <c r="C263" s="192"/>
      <c r="D263" s="194"/>
      <c r="E263" s="194"/>
      <c r="F263" s="194"/>
      <c r="G263" s="192"/>
      <c r="H263" s="192"/>
      <c r="I263" s="195"/>
      <c r="J263" s="194"/>
      <c r="K263" s="196"/>
      <c r="L263" s="195"/>
    </row>
    <row r="264" spans="1:12" x14ac:dyDescent="0.25">
      <c r="A264" s="192"/>
      <c r="B264" s="193"/>
      <c r="C264" s="192"/>
      <c r="D264" s="194"/>
      <c r="E264" s="194"/>
      <c r="F264" s="194"/>
      <c r="G264" s="192"/>
      <c r="H264" s="192"/>
      <c r="I264" s="195"/>
      <c r="J264" s="194"/>
      <c r="K264" s="196"/>
      <c r="L264" s="195"/>
    </row>
    <row r="265" spans="1:12" x14ac:dyDescent="0.25">
      <c r="A265" s="192"/>
      <c r="B265" s="193"/>
      <c r="C265" s="192"/>
      <c r="D265" s="194"/>
      <c r="E265" s="194"/>
      <c r="F265" s="194"/>
      <c r="G265" s="192"/>
      <c r="H265" s="192"/>
      <c r="I265" s="195"/>
      <c r="J265" s="194"/>
      <c r="K265" s="196"/>
      <c r="L265" s="195"/>
    </row>
    <row r="266" spans="1:12" x14ac:dyDescent="0.25">
      <c r="A266" s="192"/>
      <c r="B266" s="193"/>
      <c r="C266" s="192"/>
      <c r="D266" s="194"/>
      <c r="E266" s="194"/>
      <c r="F266" s="194"/>
      <c r="G266" s="192"/>
      <c r="H266" s="192"/>
      <c r="I266" s="195"/>
      <c r="J266" s="194"/>
      <c r="K266" s="196"/>
      <c r="L266" s="195"/>
    </row>
    <row r="267" spans="1:12" x14ac:dyDescent="0.25">
      <c r="A267" s="192"/>
      <c r="B267" s="193"/>
      <c r="C267" s="192"/>
      <c r="D267" s="194"/>
      <c r="E267" s="194"/>
      <c r="F267" s="194"/>
      <c r="G267" s="192"/>
      <c r="H267" s="192"/>
      <c r="I267" s="195"/>
      <c r="J267" s="194"/>
      <c r="K267" s="196"/>
      <c r="L267" s="195"/>
    </row>
    <row r="268" spans="1:12" x14ac:dyDescent="0.25">
      <c r="A268" s="192"/>
      <c r="B268" s="193"/>
      <c r="C268" s="192"/>
      <c r="D268" s="194"/>
      <c r="E268" s="194"/>
      <c r="F268" s="194"/>
      <c r="G268" s="192"/>
      <c r="H268" s="192"/>
      <c r="I268" s="195"/>
      <c r="J268" s="194"/>
      <c r="K268" s="196"/>
      <c r="L268" s="195"/>
    </row>
    <row r="269" spans="1:12" x14ac:dyDescent="0.25">
      <c r="A269" s="192"/>
      <c r="B269" s="193"/>
      <c r="C269" s="192"/>
      <c r="D269" s="194"/>
      <c r="E269" s="194"/>
      <c r="F269" s="194"/>
      <c r="G269" s="192"/>
      <c r="H269" s="192"/>
      <c r="I269" s="195"/>
      <c r="J269" s="194"/>
      <c r="K269" s="196"/>
      <c r="L269" s="195"/>
    </row>
    <row r="270" spans="1:12" x14ac:dyDescent="0.25">
      <c r="A270" s="192"/>
      <c r="B270" s="193"/>
      <c r="C270" s="192"/>
      <c r="D270" s="194"/>
      <c r="E270" s="194"/>
      <c r="F270" s="194"/>
      <c r="G270" s="192"/>
      <c r="H270" s="192"/>
      <c r="I270" s="195"/>
      <c r="J270" s="194"/>
      <c r="K270" s="196"/>
      <c r="L270" s="195"/>
    </row>
    <row r="271" spans="1:12" x14ac:dyDescent="0.25">
      <c r="A271" s="192"/>
      <c r="B271" s="193"/>
      <c r="C271" s="192"/>
      <c r="D271" s="194"/>
      <c r="E271" s="194"/>
      <c r="F271" s="194"/>
      <c r="G271" s="192"/>
      <c r="H271" s="192"/>
      <c r="I271" s="195"/>
      <c r="J271" s="194"/>
      <c r="K271" s="196"/>
      <c r="L271" s="195"/>
    </row>
    <row r="272" spans="1:12" x14ac:dyDescent="0.25">
      <c r="A272" s="192"/>
      <c r="B272" s="193"/>
      <c r="C272" s="192"/>
      <c r="D272" s="194"/>
      <c r="E272" s="194"/>
      <c r="F272" s="194"/>
      <c r="G272" s="192"/>
      <c r="H272" s="192"/>
      <c r="I272" s="195"/>
      <c r="J272" s="194"/>
      <c r="K272" s="196"/>
      <c r="L272" s="195"/>
    </row>
    <row r="273" spans="1:12" x14ac:dyDescent="0.25">
      <c r="A273" s="192"/>
      <c r="B273" s="193"/>
      <c r="C273" s="192"/>
      <c r="D273" s="194"/>
      <c r="E273" s="194"/>
      <c r="F273" s="194"/>
      <c r="G273" s="192"/>
      <c r="H273" s="192"/>
      <c r="I273" s="195"/>
      <c r="J273" s="194"/>
      <c r="K273" s="196"/>
      <c r="L273" s="195"/>
    </row>
    <row r="274" spans="1:12" x14ac:dyDescent="0.25">
      <c r="A274" s="192"/>
      <c r="B274" s="193"/>
      <c r="C274" s="192"/>
      <c r="D274" s="194"/>
      <c r="E274" s="194"/>
      <c r="F274" s="194"/>
      <c r="G274" s="192"/>
      <c r="H274" s="192"/>
      <c r="I274" s="195"/>
      <c r="J274" s="194"/>
      <c r="K274" s="196"/>
      <c r="L274" s="195"/>
    </row>
    <row r="275" spans="1:12" x14ac:dyDescent="0.25">
      <c r="A275" s="192"/>
      <c r="B275" s="193"/>
      <c r="C275" s="192"/>
      <c r="D275" s="194"/>
      <c r="E275" s="194"/>
      <c r="F275" s="194"/>
      <c r="G275" s="192"/>
      <c r="H275" s="192"/>
      <c r="I275" s="195"/>
      <c r="J275" s="194"/>
      <c r="K275" s="196"/>
      <c r="L275" s="195"/>
    </row>
    <row r="276" spans="1:12" x14ac:dyDescent="0.25">
      <c r="A276" s="192"/>
      <c r="B276" s="193"/>
      <c r="C276" s="192"/>
      <c r="D276" s="194"/>
      <c r="E276" s="194"/>
      <c r="F276" s="194"/>
      <c r="G276" s="192"/>
      <c r="H276" s="192"/>
      <c r="I276" s="195"/>
      <c r="J276" s="194"/>
      <c r="K276" s="196"/>
      <c r="L276" s="195"/>
    </row>
    <row r="277" spans="1:12" x14ac:dyDescent="0.25">
      <c r="A277" s="192"/>
      <c r="B277" s="193"/>
      <c r="C277" s="192"/>
      <c r="D277" s="194"/>
      <c r="E277" s="194"/>
      <c r="F277" s="194"/>
      <c r="G277" s="192"/>
      <c r="H277" s="192"/>
      <c r="I277" s="195"/>
      <c r="J277" s="194"/>
      <c r="K277" s="196"/>
      <c r="L277" s="195"/>
    </row>
    <row r="278" spans="1:12" x14ac:dyDescent="0.25">
      <c r="A278" s="192"/>
      <c r="B278" s="193"/>
      <c r="C278" s="192"/>
      <c r="D278" s="194"/>
      <c r="E278" s="194"/>
      <c r="F278" s="194"/>
      <c r="G278" s="192"/>
      <c r="H278" s="192"/>
      <c r="I278" s="195"/>
      <c r="J278" s="194"/>
      <c r="K278" s="196"/>
      <c r="L278" s="195"/>
    </row>
    <row r="279" spans="1:12" x14ac:dyDescent="0.25">
      <c r="A279" s="192"/>
      <c r="B279" s="193"/>
      <c r="C279" s="192"/>
      <c r="D279" s="194"/>
      <c r="E279" s="194"/>
      <c r="F279" s="194"/>
      <c r="G279" s="192"/>
      <c r="H279" s="192"/>
      <c r="I279" s="195"/>
      <c r="J279" s="194"/>
      <c r="K279" s="196"/>
      <c r="L279" s="195"/>
    </row>
    <row r="280" spans="1:12" x14ac:dyDescent="0.25">
      <c r="A280" s="192"/>
      <c r="B280" s="193"/>
      <c r="C280" s="192"/>
      <c r="D280" s="194"/>
      <c r="E280" s="194"/>
      <c r="F280" s="194"/>
      <c r="G280" s="192"/>
      <c r="H280" s="192"/>
      <c r="I280" s="195"/>
      <c r="J280" s="194"/>
      <c r="K280" s="196"/>
      <c r="L280" s="195"/>
    </row>
    <row r="281" spans="1:12" x14ac:dyDescent="0.25">
      <c r="A281" s="192"/>
      <c r="B281" s="193"/>
      <c r="C281" s="192"/>
      <c r="D281" s="194"/>
      <c r="E281" s="194"/>
      <c r="F281" s="194"/>
      <c r="G281" s="192"/>
      <c r="H281" s="192"/>
      <c r="I281" s="195"/>
      <c r="J281" s="194"/>
      <c r="K281" s="196"/>
      <c r="L281" s="195"/>
    </row>
    <row r="282" spans="1:12" x14ac:dyDescent="0.25">
      <c r="A282" s="192"/>
      <c r="B282" s="193"/>
      <c r="C282" s="192"/>
      <c r="D282" s="194"/>
      <c r="E282" s="194"/>
      <c r="F282" s="194"/>
      <c r="G282" s="192"/>
      <c r="H282" s="192"/>
      <c r="I282" s="195"/>
      <c r="J282" s="194"/>
      <c r="K282" s="196"/>
      <c r="L282" s="195"/>
    </row>
    <row r="283" spans="1:12" x14ac:dyDescent="0.25">
      <c r="A283" s="192"/>
      <c r="B283" s="193"/>
      <c r="C283" s="192"/>
      <c r="D283" s="194"/>
      <c r="E283" s="194"/>
      <c r="F283" s="194"/>
      <c r="G283" s="192"/>
      <c r="H283" s="192"/>
      <c r="I283" s="195"/>
      <c r="J283" s="194"/>
      <c r="K283" s="196"/>
      <c r="L283" s="195"/>
    </row>
    <row r="284" spans="1:12" x14ac:dyDescent="0.25">
      <c r="A284" s="192"/>
      <c r="B284" s="193"/>
      <c r="C284" s="192"/>
      <c r="D284" s="194"/>
      <c r="E284" s="194"/>
      <c r="F284" s="194"/>
      <c r="G284" s="192"/>
      <c r="H284" s="192"/>
      <c r="I284" s="195"/>
      <c r="J284" s="194"/>
      <c r="K284" s="196"/>
      <c r="L284" s="195"/>
    </row>
    <row r="285" spans="1:12" x14ac:dyDescent="0.25">
      <c r="A285" s="192"/>
      <c r="B285" s="193"/>
      <c r="C285" s="192"/>
      <c r="D285" s="194"/>
      <c r="E285" s="194"/>
      <c r="F285" s="194"/>
      <c r="G285" s="192"/>
      <c r="H285" s="192"/>
      <c r="I285" s="195"/>
      <c r="J285" s="194"/>
      <c r="K285" s="196"/>
      <c r="L285" s="195"/>
    </row>
    <row r="286" spans="1:12" x14ac:dyDescent="0.25">
      <c r="A286" s="192"/>
      <c r="B286" s="193"/>
      <c r="C286" s="192"/>
      <c r="D286" s="194"/>
      <c r="E286" s="194"/>
      <c r="F286" s="194"/>
      <c r="G286" s="192"/>
      <c r="H286" s="192"/>
      <c r="I286" s="195"/>
      <c r="J286" s="194"/>
      <c r="K286" s="196"/>
      <c r="L286" s="195"/>
    </row>
    <row r="287" spans="1:12" x14ac:dyDescent="0.25">
      <c r="A287" s="192"/>
      <c r="B287" s="193"/>
      <c r="C287" s="192"/>
      <c r="D287" s="194"/>
      <c r="E287" s="194"/>
      <c r="F287" s="194"/>
      <c r="G287" s="192"/>
      <c r="H287" s="192"/>
      <c r="I287" s="195"/>
      <c r="J287" s="194"/>
      <c r="K287" s="196"/>
      <c r="L287" s="195"/>
    </row>
    <row r="288" spans="1:12" x14ac:dyDescent="0.25">
      <c r="A288" s="192"/>
      <c r="B288" s="193"/>
      <c r="C288" s="192"/>
      <c r="D288" s="194"/>
      <c r="E288" s="194"/>
      <c r="F288" s="194"/>
      <c r="G288" s="192"/>
      <c r="H288" s="192"/>
      <c r="I288" s="195"/>
      <c r="J288" s="194"/>
      <c r="K288" s="196"/>
      <c r="L288" s="195"/>
    </row>
    <row r="289" spans="1:12" x14ac:dyDescent="0.25">
      <c r="A289" s="192"/>
      <c r="B289" s="193"/>
      <c r="C289" s="192"/>
      <c r="D289" s="194"/>
      <c r="E289" s="194"/>
      <c r="F289" s="194"/>
      <c r="G289" s="192"/>
      <c r="H289" s="192"/>
      <c r="I289" s="195"/>
      <c r="J289" s="194"/>
      <c r="K289" s="196"/>
      <c r="L289" s="195"/>
    </row>
    <row r="290" spans="1:12" x14ac:dyDescent="0.25">
      <c r="A290" s="192"/>
      <c r="B290" s="193"/>
      <c r="C290" s="192"/>
      <c r="D290" s="194"/>
      <c r="E290" s="194"/>
      <c r="F290" s="194"/>
      <c r="G290" s="192"/>
      <c r="H290" s="192"/>
      <c r="I290" s="195"/>
      <c r="J290" s="194"/>
      <c r="K290" s="196"/>
      <c r="L290" s="195"/>
    </row>
    <row r="291" spans="1:12" x14ac:dyDescent="0.25">
      <c r="A291" s="192"/>
      <c r="B291" s="193"/>
      <c r="C291" s="192"/>
      <c r="D291" s="194"/>
      <c r="E291" s="194"/>
      <c r="F291" s="194"/>
      <c r="G291" s="192"/>
      <c r="H291" s="192"/>
      <c r="I291" s="195"/>
      <c r="J291" s="194"/>
      <c r="K291" s="196"/>
      <c r="L291" s="195"/>
    </row>
    <row r="292" spans="1:12" x14ac:dyDescent="0.25">
      <c r="A292" s="192"/>
      <c r="B292" s="193"/>
      <c r="C292" s="192"/>
      <c r="D292" s="194"/>
      <c r="E292" s="194"/>
      <c r="F292" s="194"/>
      <c r="G292" s="192"/>
      <c r="H292" s="192"/>
      <c r="I292" s="195"/>
      <c r="J292" s="194"/>
      <c r="K292" s="196"/>
      <c r="L292" s="195"/>
    </row>
    <row r="293" spans="1:12" x14ac:dyDescent="0.25">
      <c r="A293" s="192"/>
      <c r="B293" s="193"/>
      <c r="C293" s="192"/>
      <c r="D293" s="194"/>
      <c r="E293" s="194"/>
      <c r="F293" s="194"/>
      <c r="G293" s="192"/>
      <c r="H293" s="192"/>
      <c r="I293" s="195"/>
      <c r="J293" s="194"/>
      <c r="K293" s="196"/>
      <c r="L293" s="195"/>
    </row>
    <row r="294" spans="1:12" x14ac:dyDescent="0.25">
      <c r="A294" s="192"/>
      <c r="B294" s="193"/>
      <c r="C294" s="192"/>
      <c r="D294" s="194"/>
      <c r="E294" s="194"/>
      <c r="F294" s="194"/>
      <c r="G294" s="192"/>
      <c r="H294" s="192"/>
      <c r="I294" s="195"/>
      <c r="J294" s="194"/>
      <c r="K294" s="196"/>
      <c r="L294" s="195"/>
    </row>
    <row r="295" spans="1:12" x14ac:dyDescent="0.25">
      <c r="A295" s="192"/>
      <c r="B295" s="193"/>
      <c r="C295" s="192"/>
      <c r="D295" s="194"/>
      <c r="E295" s="194"/>
      <c r="F295" s="194"/>
      <c r="G295" s="192"/>
      <c r="H295" s="192"/>
      <c r="I295" s="195"/>
      <c r="J295" s="194"/>
      <c r="K295" s="196"/>
      <c r="L295" s="195"/>
    </row>
    <row r="296" spans="1:12" x14ac:dyDescent="0.25">
      <c r="A296" s="192"/>
      <c r="B296" s="193"/>
      <c r="C296" s="192"/>
      <c r="D296" s="194"/>
      <c r="E296" s="194"/>
      <c r="F296" s="194"/>
      <c r="G296" s="192"/>
      <c r="H296" s="192"/>
      <c r="I296" s="195"/>
      <c r="J296" s="194"/>
      <c r="K296" s="196"/>
      <c r="L296" s="195"/>
    </row>
    <row r="297" spans="1:12" x14ac:dyDescent="0.25">
      <c r="A297" s="192"/>
      <c r="B297" s="193"/>
      <c r="C297" s="192"/>
      <c r="D297" s="194"/>
      <c r="E297" s="194"/>
      <c r="F297" s="194"/>
      <c r="G297" s="192"/>
      <c r="H297" s="192"/>
      <c r="I297" s="195"/>
      <c r="J297" s="194"/>
      <c r="K297" s="196"/>
      <c r="L297" s="195"/>
    </row>
    <row r="298" spans="1:12" x14ac:dyDescent="0.25">
      <c r="A298" s="192"/>
      <c r="B298" s="193"/>
      <c r="C298" s="192"/>
      <c r="D298" s="194"/>
      <c r="E298" s="194"/>
      <c r="F298" s="194"/>
      <c r="G298" s="192"/>
      <c r="H298" s="192"/>
      <c r="I298" s="195"/>
      <c r="J298" s="194"/>
      <c r="K298" s="196"/>
      <c r="L298" s="195"/>
    </row>
    <row r="299" spans="1:12" x14ac:dyDescent="0.25">
      <c r="A299" s="192"/>
      <c r="B299" s="193"/>
      <c r="C299" s="192"/>
      <c r="D299" s="194"/>
      <c r="E299" s="194"/>
      <c r="F299" s="194"/>
      <c r="G299" s="192"/>
      <c r="H299" s="192"/>
      <c r="I299" s="195"/>
      <c r="J299" s="194"/>
      <c r="K299" s="196"/>
      <c r="L299" s="195"/>
    </row>
    <row r="300" spans="1:12" x14ac:dyDescent="0.25">
      <c r="A300" s="192"/>
      <c r="B300" s="193"/>
      <c r="C300" s="192"/>
      <c r="D300" s="194"/>
      <c r="E300" s="194"/>
      <c r="F300" s="194"/>
      <c r="G300" s="192"/>
      <c r="H300" s="192"/>
      <c r="I300" s="195"/>
      <c r="J300" s="194"/>
      <c r="K300" s="196"/>
      <c r="L300" s="195"/>
    </row>
    <row r="301" spans="1:12" x14ac:dyDescent="0.25">
      <c r="A301" s="192"/>
      <c r="B301" s="193"/>
      <c r="C301" s="192"/>
      <c r="D301" s="194"/>
      <c r="E301" s="194"/>
      <c r="F301" s="194"/>
      <c r="G301" s="192"/>
      <c r="H301" s="192"/>
      <c r="I301" s="195"/>
      <c r="J301" s="194"/>
      <c r="K301" s="196"/>
      <c r="L301" s="195"/>
    </row>
    <row r="302" spans="1:12" x14ac:dyDescent="0.25">
      <c r="A302" s="192"/>
      <c r="B302" s="193"/>
      <c r="C302" s="192"/>
      <c r="D302" s="194"/>
      <c r="E302" s="194"/>
      <c r="F302" s="194"/>
      <c r="G302" s="192"/>
      <c r="H302" s="192"/>
      <c r="I302" s="195"/>
      <c r="J302" s="194"/>
      <c r="K302" s="196"/>
      <c r="L302" s="195"/>
    </row>
    <row r="303" spans="1:12" x14ac:dyDescent="0.25">
      <c r="A303" s="192"/>
      <c r="B303" s="193"/>
      <c r="C303" s="192"/>
      <c r="D303" s="194"/>
      <c r="E303" s="194"/>
      <c r="F303" s="194"/>
      <c r="G303" s="192"/>
      <c r="H303" s="192"/>
      <c r="I303" s="195"/>
      <c r="J303" s="194"/>
      <c r="K303" s="196"/>
      <c r="L303" s="195"/>
    </row>
    <row r="304" spans="1:12" x14ac:dyDescent="0.25">
      <c r="A304" s="192"/>
      <c r="B304" s="193"/>
      <c r="C304" s="192"/>
      <c r="D304" s="194"/>
      <c r="E304" s="194"/>
      <c r="F304" s="194"/>
      <c r="G304" s="192"/>
      <c r="H304" s="192"/>
      <c r="I304" s="195"/>
      <c r="J304" s="194"/>
      <c r="K304" s="196"/>
      <c r="L304" s="195"/>
    </row>
    <row r="305" spans="1:12" x14ac:dyDescent="0.25">
      <c r="A305" s="192"/>
      <c r="B305" s="193"/>
      <c r="C305" s="192"/>
      <c r="D305" s="194"/>
      <c r="E305" s="194"/>
      <c r="F305" s="194"/>
      <c r="G305" s="192"/>
      <c r="H305" s="192"/>
      <c r="I305" s="195"/>
      <c r="J305" s="194"/>
      <c r="K305" s="196"/>
      <c r="L305" s="195"/>
    </row>
    <row r="306" spans="1:12" x14ac:dyDescent="0.25">
      <c r="A306" s="192"/>
      <c r="B306" s="193"/>
      <c r="C306" s="192"/>
      <c r="D306" s="194"/>
      <c r="E306" s="194"/>
      <c r="F306" s="194"/>
      <c r="G306" s="192"/>
      <c r="H306" s="192"/>
      <c r="I306" s="195"/>
      <c r="J306" s="194"/>
      <c r="K306" s="196"/>
      <c r="L306" s="195"/>
    </row>
    <row r="307" spans="1:12" x14ac:dyDescent="0.25">
      <c r="A307" s="192"/>
      <c r="B307" s="193"/>
      <c r="C307" s="192"/>
      <c r="D307" s="194"/>
      <c r="E307" s="194"/>
      <c r="F307" s="194"/>
      <c r="G307" s="192"/>
      <c r="H307" s="192"/>
      <c r="I307" s="195"/>
      <c r="J307" s="194"/>
      <c r="K307" s="196"/>
      <c r="L307" s="195"/>
    </row>
    <row r="308" spans="1:12" x14ac:dyDescent="0.25">
      <c r="A308" s="192"/>
      <c r="B308" s="193"/>
      <c r="C308" s="192"/>
      <c r="D308" s="194"/>
      <c r="E308" s="194"/>
      <c r="F308" s="194"/>
      <c r="G308" s="192"/>
      <c r="H308" s="192"/>
      <c r="I308" s="195"/>
      <c r="J308" s="194"/>
      <c r="K308" s="196"/>
      <c r="L308" s="195"/>
    </row>
    <row r="309" spans="1:12" x14ac:dyDescent="0.25">
      <c r="A309" s="192"/>
      <c r="B309" s="193"/>
      <c r="C309" s="192"/>
      <c r="D309" s="194"/>
      <c r="E309" s="194"/>
      <c r="F309" s="194"/>
      <c r="G309" s="192"/>
      <c r="H309" s="192"/>
      <c r="I309" s="195"/>
      <c r="J309" s="194"/>
      <c r="K309" s="196"/>
      <c r="L309" s="195"/>
    </row>
    <row r="310" spans="1:12" x14ac:dyDescent="0.25">
      <c r="A310" s="192"/>
      <c r="B310" s="193"/>
      <c r="C310" s="192"/>
      <c r="D310" s="194"/>
      <c r="E310" s="194"/>
      <c r="F310" s="194"/>
      <c r="G310" s="192"/>
      <c r="H310" s="192"/>
      <c r="I310" s="195"/>
      <c r="J310" s="194"/>
      <c r="K310" s="196"/>
      <c r="L310" s="195"/>
    </row>
    <row r="311" spans="1:12" x14ac:dyDescent="0.25">
      <c r="A311" s="192"/>
      <c r="B311" s="193"/>
      <c r="C311" s="192"/>
      <c r="D311" s="194"/>
      <c r="E311" s="194"/>
      <c r="F311" s="194"/>
      <c r="G311" s="192"/>
      <c r="H311" s="192"/>
      <c r="I311" s="195"/>
      <c r="J311" s="194"/>
      <c r="K311" s="196"/>
      <c r="L311" s="195"/>
    </row>
    <row r="312" spans="1:12" x14ac:dyDescent="0.25">
      <c r="A312" s="192"/>
      <c r="B312" s="193"/>
      <c r="C312" s="192"/>
      <c r="D312" s="194"/>
      <c r="E312" s="194"/>
      <c r="F312" s="194"/>
      <c r="G312" s="192"/>
      <c r="H312" s="192"/>
      <c r="I312" s="195"/>
      <c r="J312" s="194"/>
      <c r="K312" s="196"/>
      <c r="L312" s="195"/>
    </row>
    <row r="313" spans="1:12" x14ac:dyDescent="0.25">
      <c r="A313" s="192"/>
      <c r="B313" s="193"/>
      <c r="C313" s="192"/>
      <c r="D313" s="194"/>
      <c r="E313" s="194"/>
      <c r="F313" s="194"/>
      <c r="G313" s="192"/>
      <c r="H313" s="192"/>
      <c r="I313" s="195"/>
      <c r="J313" s="194"/>
      <c r="K313" s="196"/>
      <c r="L313" s="195"/>
    </row>
    <row r="314" spans="1:12" x14ac:dyDescent="0.25">
      <c r="A314" s="192"/>
      <c r="B314" s="193"/>
      <c r="C314" s="192"/>
      <c r="D314" s="194"/>
      <c r="E314" s="194"/>
      <c r="F314" s="194"/>
      <c r="G314" s="192"/>
      <c r="H314" s="192"/>
      <c r="I314" s="195"/>
      <c r="J314" s="194"/>
      <c r="K314" s="196"/>
      <c r="L314" s="195"/>
    </row>
    <row r="315" spans="1:12" x14ac:dyDescent="0.25">
      <c r="A315" s="192"/>
      <c r="B315" s="193"/>
      <c r="C315" s="192"/>
      <c r="D315" s="194"/>
      <c r="E315" s="194"/>
      <c r="F315" s="194"/>
      <c r="G315" s="192"/>
      <c r="H315" s="192"/>
      <c r="I315" s="195"/>
      <c r="J315" s="194"/>
      <c r="K315" s="196"/>
      <c r="L315" s="195"/>
    </row>
    <row r="316" spans="1:12" x14ac:dyDescent="0.25">
      <c r="A316" s="192"/>
      <c r="B316" s="193"/>
      <c r="C316" s="192"/>
      <c r="D316" s="194"/>
      <c r="E316" s="194"/>
      <c r="F316" s="194"/>
      <c r="G316" s="192"/>
      <c r="H316" s="192"/>
      <c r="I316" s="195"/>
      <c r="J316" s="194"/>
      <c r="K316" s="196"/>
      <c r="L316" s="195"/>
    </row>
    <row r="317" spans="1:12" x14ac:dyDescent="0.25">
      <c r="A317" s="192"/>
      <c r="B317" s="193"/>
      <c r="C317" s="192"/>
      <c r="D317" s="194"/>
      <c r="E317" s="194"/>
      <c r="F317" s="194"/>
      <c r="G317" s="192"/>
      <c r="H317" s="192"/>
      <c r="I317" s="195"/>
      <c r="J317" s="194"/>
      <c r="K317" s="196"/>
      <c r="L317" s="195"/>
    </row>
    <row r="318" spans="1:12" x14ac:dyDescent="0.25">
      <c r="A318" s="192"/>
      <c r="B318" s="193"/>
      <c r="C318" s="192"/>
      <c r="D318" s="194"/>
      <c r="E318" s="194"/>
      <c r="F318" s="194"/>
      <c r="G318" s="192"/>
      <c r="H318" s="192"/>
      <c r="I318" s="195"/>
      <c r="J318" s="194"/>
      <c r="K318" s="196"/>
      <c r="L318" s="195"/>
    </row>
    <row r="319" spans="1:12" x14ac:dyDescent="0.25">
      <c r="A319" s="192"/>
      <c r="B319" s="193"/>
      <c r="C319" s="192"/>
      <c r="D319" s="194"/>
      <c r="E319" s="194"/>
      <c r="F319" s="194"/>
      <c r="G319" s="192"/>
      <c r="H319" s="192"/>
      <c r="I319" s="195"/>
      <c r="J319" s="194"/>
      <c r="K319" s="196"/>
      <c r="L319" s="195"/>
    </row>
    <row r="320" spans="1:12" x14ac:dyDescent="0.25">
      <c r="A320" s="192"/>
      <c r="B320" s="193"/>
      <c r="C320" s="192"/>
      <c r="D320" s="194"/>
      <c r="E320" s="194"/>
      <c r="F320" s="194"/>
      <c r="G320" s="192"/>
      <c r="H320" s="192"/>
      <c r="I320" s="195"/>
      <c r="J320" s="194"/>
      <c r="K320" s="196"/>
      <c r="L320" s="195"/>
    </row>
    <row r="321" spans="1:12" x14ac:dyDescent="0.25">
      <c r="A321" s="192"/>
      <c r="B321" s="193"/>
      <c r="C321" s="192"/>
      <c r="D321" s="194"/>
      <c r="E321" s="194"/>
      <c r="F321" s="194"/>
      <c r="G321" s="192"/>
      <c r="H321" s="192"/>
      <c r="I321" s="195"/>
      <c r="J321" s="194"/>
      <c r="K321" s="196"/>
      <c r="L321" s="195"/>
    </row>
    <row r="322" spans="1:12" x14ac:dyDescent="0.25">
      <c r="A322" s="192"/>
      <c r="B322" s="193"/>
      <c r="C322" s="192"/>
      <c r="D322" s="194"/>
      <c r="E322" s="194"/>
      <c r="F322" s="194"/>
      <c r="G322" s="192"/>
      <c r="H322" s="192"/>
      <c r="I322" s="195"/>
      <c r="J322" s="194"/>
      <c r="K322" s="196"/>
      <c r="L322" s="195"/>
    </row>
    <row r="323" spans="1:12" x14ac:dyDescent="0.25">
      <c r="A323" s="192"/>
      <c r="B323" s="193"/>
      <c r="C323" s="192"/>
      <c r="D323" s="194"/>
      <c r="E323" s="194"/>
      <c r="F323" s="194"/>
      <c r="G323" s="192"/>
      <c r="H323" s="192"/>
      <c r="I323" s="195"/>
      <c r="J323" s="194"/>
      <c r="K323" s="196"/>
      <c r="L323" s="195"/>
    </row>
    <row r="324" spans="1:12" x14ac:dyDescent="0.25">
      <c r="A324" s="192"/>
      <c r="B324" s="193"/>
      <c r="C324" s="192"/>
      <c r="D324" s="194"/>
      <c r="E324" s="194"/>
      <c r="F324" s="194"/>
      <c r="G324" s="192"/>
      <c r="H324" s="192"/>
      <c r="I324" s="195"/>
      <c r="J324" s="194"/>
      <c r="K324" s="196"/>
      <c r="L324" s="195"/>
    </row>
    <row r="325" spans="1:12" x14ac:dyDescent="0.25">
      <c r="A325" s="192"/>
      <c r="B325" s="193"/>
      <c r="C325" s="192"/>
      <c r="D325" s="194"/>
      <c r="E325" s="194"/>
      <c r="F325" s="194"/>
      <c r="G325" s="192"/>
      <c r="H325" s="192"/>
      <c r="I325" s="195"/>
      <c r="J325" s="194"/>
      <c r="K325" s="196"/>
      <c r="L325" s="195"/>
    </row>
    <row r="326" spans="1:12" x14ac:dyDescent="0.25">
      <c r="A326" s="192"/>
      <c r="B326" s="193"/>
      <c r="C326" s="192"/>
      <c r="D326" s="194"/>
      <c r="E326" s="194"/>
      <c r="F326" s="194"/>
      <c r="G326" s="192"/>
      <c r="H326" s="192"/>
      <c r="I326" s="195"/>
      <c r="J326" s="194"/>
      <c r="K326" s="196"/>
      <c r="L326" s="195"/>
    </row>
    <row r="327" spans="1:12" x14ac:dyDescent="0.25">
      <c r="A327" s="192"/>
      <c r="B327" s="193"/>
      <c r="C327" s="192"/>
      <c r="D327" s="194"/>
      <c r="E327" s="194"/>
      <c r="F327" s="194"/>
      <c r="G327" s="192"/>
      <c r="H327" s="192"/>
      <c r="I327" s="195"/>
      <c r="J327" s="194"/>
      <c r="K327" s="196"/>
      <c r="L327" s="195"/>
    </row>
    <row r="328" spans="1:12" x14ac:dyDescent="0.25">
      <c r="A328" s="192"/>
      <c r="B328" s="193"/>
      <c r="C328" s="192"/>
      <c r="D328" s="194"/>
      <c r="E328" s="194"/>
      <c r="F328" s="194"/>
      <c r="G328" s="192"/>
      <c r="H328" s="192"/>
      <c r="I328" s="195"/>
      <c r="J328" s="194"/>
      <c r="K328" s="196"/>
      <c r="L328" s="195"/>
    </row>
    <row r="329" spans="1:12" x14ac:dyDescent="0.25">
      <c r="A329" s="192"/>
      <c r="B329" s="193"/>
      <c r="C329" s="192"/>
      <c r="D329" s="194"/>
      <c r="E329" s="194"/>
      <c r="F329" s="194"/>
      <c r="G329" s="192"/>
      <c r="H329" s="192"/>
      <c r="I329" s="195"/>
      <c r="J329" s="194"/>
      <c r="K329" s="196"/>
      <c r="L329" s="195"/>
    </row>
    <row r="330" spans="1:12" x14ac:dyDescent="0.25">
      <c r="A330" s="192"/>
      <c r="B330" s="193"/>
      <c r="C330" s="192"/>
      <c r="D330" s="194"/>
      <c r="E330" s="194"/>
      <c r="F330" s="194"/>
      <c r="G330" s="192"/>
      <c r="H330" s="192"/>
      <c r="I330" s="195"/>
      <c r="J330" s="194"/>
      <c r="K330" s="196"/>
      <c r="L330" s="195"/>
    </row>
    <row r="331" spans="1:12" x14ac:dyDescent="0.25">
      <c r="A331" s="192"/>
      <c r="B331" s="193"/>
      <c r="C331" s="192"/>
      <c r="D331" s="194"/>
      <c r="E331" s="194"/>
      <c r="F331" s="194"/>
      <c r="G331" s="192"/>
      <c r="H331" s="192"/>
      <c r="I331" s="195"/>
      <c r="J331" s="194"/>
      <c r="K331" s="196"/>
      <c r="L331" s="195"/>
    </row>
    <row r="332" spans="1:12" x14ac:dyDescent="0.25">
      <c r="A332" s="192"/>
      <c r="B332" s="193"/>
      <c r="C332" s="192"/>
      <c r="D332" s="194"/>
      <c r="E332" s="194"/>
      <c r="F332" s="194"/>
      <c r="G332" s="192"/>
      <c r="H332" s="192"/>
      <c r="I332" s="195"/>
      <c r="J332" s="194"/>
      <c r="K332" s="196"/>
      <c r="L332" s="195"/>
    </row>
    <row r="333" spans="1:12" x14ac:dyDescent="0.25">
      <c r="A333" s="192"/>
      <c r="B333" s="193"/>
      <c r="C333" s="192"/>
      <c r="D333" s="194"/>
      <c r="E333" s="194"/>
      <c r="F333" s="194"/>
      <c r="G333" s="192"/>
      <c r="H333" s="192"/>
      <c r="I333" s="195"/>
      <c r="J333" s="194"/>
      <c r="K333" s="196"/>
      <c r="L333" s="195"/>
    </row>
    <row r="334" spans="1:12" x14ac:dyDescent="0.25">
      <c r="A334" s="192"/>
      <c r="B334" s="193"/>
      <c r="C334" s="192"/>
      <c r="D334" s="194"/>
      <c r="E334" s="194"/>
      <c r="F334" s="194"/>
      <c r="G334" s="192"/>
      <c r="H334" s="192"/>
      <c r="I334" s="195"/>
      <c r="J334" s="194"/>
      <c r="K334" s="196"/>
      <c r="L334" s="195"/>
    </row>
    <row r="335" spans="1:12" x14ac:dyDescent="0.25">
      <c r="A335" s="192"/>
      <c r="B335" s="193"/>
      <c r="C335" s="192"/>
      <c r="D335" s="194"/>
      <c r="E335" s="194"/>
      <c r="F335" s="194"/>
      <c r="G335" s="192"/>
      <c r="H335" s="192"/>
      <c r="I335" s="195"/>
      <c r="J335" s="194"/>
      <c r="K335" s="196"/>
      <c r="L335" s="195"/>
    </row>
    <row r="336" spans="1:12" x14ac:dyDescent="0.25">
      <c r="A336" s="192"/>
      <c r="B336" s="193"/>
      <c r="C336" s="192"/>
      <c r="D336" s="194"/>
      <c r="E336" s="194"/>
      <c r="F336" s="194"/>
      <c r="G336" s="192"/>
      <c r="H336" s="192"/>
      <c r="I336" s="195"/>
      <c r="J336" s="194"/>
      <c r="K336" s="196"/>
      <c r="L336" s="195"/>
    </row>
    <row r="337" spans="1:12" x14ac:dyDescent="0.25">
      <c r="A337" s="192"/>
      <c r="B337" s="193"/>
      <c r="C337" s="192"/>
      <c r="D337" s="194"/>
      <c r="E337" s="194"/>
      <c r="F337" s="194"/>
      <c r="G337" s="192"/>
      <c r="H337" s="192"/>
      <c r="I337" s="195"/>
      <c r="J337" s="194"/>
      <c r="K337" s="196"/>
      <c r="L337" s="195"/>
    </row>
    <row r="338" spans="1:12" x14ac:dyDescent="0.25">
      <c r="A338" s="192"/>
      <c r="B338" s="193"/>
      <c r="C338" s="192"/>
      <c r="D338" s="194"/>
      <c r="E338" s="194"/>
      <c r="F338" s="194"/>
      <c r="G338" s="192"/>
      <c r="H338" s="192"/>
      <c r="I338" s="195"/>
      <c r="J338" s="194"/>
      <c r="K338" s="196"/>
      <c r="L338" s="195"/>
    </row>
    <row r="339" spans="1:12" x14ac:dyDescent="0.25">
      <c r="A339" s="192"/>
      <c r="B339" s="193"/>
      <c r="C339" s="192"/>
      <c r="D339" s="194"/>
      <c r="E339" s="194"/>
      <c r="F339" s="194"/>
      <c r="G339" s="192"/>
      <c r="H339" s="192"/>
      <c r="I339" s="195"/>
      <c r="J339" s="194"/>
      <c r="K339" s="196"/>
      <c r="L339" s="195"/>
    </row>
    <row r="340" spans="1:12" x14ac:dyDescent="0.25">
      <c r="A340" s="192"/>
      <c r="B340" s="193"/>
      <c r="C340" s="192"/>
      <c r="D340" s="194"/>
      <c r="E340" s="194"/>
      <c r="F340" s="194"/>
      <c r="G340" s="192"/>
      <c r="H340" s="192"/>
      <c r="I340" s="195"/>
      <c r="J340" s="194"/>
      <c r="K340" s="196"/>
      <c r="L340" s="195"/>
    </row>
    <row r="341" spans="1:12" x14ac:dyDescent="0.25">
      <c r="A341" s="192"/>
      <c r="B341" s="193"/>
      <c r="C341" s="192"/>
      <c r="D341" s="194"/>
      <c r="E341" s="194"/>
      <c r="F341" s="194"/>
      <c r="G341" s="192"/>
      <c r="H341" s="192"/>
      <c r="I341" s="195"/>
      <c r="J341" s="194"/>
      <c r="K341" s="196"/>
      <c r="L341" s="195"/>
    </row>
    <row r="342" spans="1:12" x14ac:dyDescent="0.25">
      <c r="A342" s="192"/>
      <c r="B342" s="193"/>
      <c r="C342" s="192"/>
      <c r="D342" s="194"/>
      <c r="E342" s="194"/>
      <c r="F342" s="194"/>
      <c r="G342" s="192"/>
      <c r="H342" s="192"/>
      <c r="I342" s="195"/>
      <c r="J342" s="194"/>
      <c r="K342" s="196"/>
      <c r="L342" s="195"/>
    </row>
    <row r="343" spans="1:12" x14ac:dyDescent="0.25">
      <c r="A343" s="192"/>
      <c r="B343" s="193"/>
      <c r="C343" s="192"/>
      <c r="D343" s="194"/>
      <c r="E343" s="194"/>
      <c r="F343" s="194"/>
      <c r="G343" s="192"/>
      <c r="H343" s="192"/>
      <c r="I343" s="195"/>
      <c r="J343" s="194"/>
      <c r="K343" s="196"/>
      <c r="L343" s="195"/>
    </row>
    <row r="344" spans="1:12" x14ac:dyDescent="0.25">
      <c r="A344" s="192"/>
      <c r="B344" s="193"/>
      <c r="C344" s="192"/>
      <c r="D344" s="194"/>
      <c r="E344" s="194"/>
      <c r="F344" s="194"/>
      <c r="G344" s="192"/>
      <c r="H344" s="192"/>
      <c r="I344" s="195"/>
      <c r="J344" s="194"/>
      <c r="K344" s="196"/>
      <c r="L344" s="195"/>
    </row>
    <row r="345" spans="1:12" x14ac:dyDescent="0.25">
      <c r="A345" s="192"/>
      <c r="B345" s="193"/>
      <c r="C345" s="192"/>
      <c r="D345" s="194"/>
      <c r="E345" s="194"/>
      <c r="F345" s="194"/>
      <c r="G345" s="192"/>
      <c r="H345" s="192"/>
      <c r="I345" s="195"/>
      <c r="J345" s="194"/>
      <c r="K345" s="196"/>
      <c r="L345" s="195"/>
    </row>
    <row r="346" spans="1:12" x14ac:dyDescent="0.25">
      <c r="A346" s="192"/>
      <c r="B346" s="193"/>
      <c r="C346" s="192"/>
      <c r="D346" s="194"/>
      <c r="E346" s="194"/>
      <c r="F346" s="194"/>
      <c r="G346" s="192"/>
      <c r="H346" s="192"/>
      <c r="I346" s="195"/>
      <c r="J346" s="194"/>
      <c r="K346" s="196"/>
      <c r="L346" s="195"/>
    </row>
    <row r="347" spans="1:12" x14ac:dyDescent="0.25">
      <c r="A347" s="192"/>
      <c r="B347" s="193"/>
      <c r="C347" s="192"/>
      <c r="D347" s="194"/>
      <c r="E347" s="194"/>
      <c r="F347" s="194"/>
      <c r="G347" s="192"/>
      <c r="H347" s="192"/>
      <c r="I347" s="195"/>
      <c r="J347" s="194"/>
      <c r="K347" s="196"/>
      <c r="L347" s="195"/>
    </row>
    <row r="348" spans="1:12" x14ac:dyDescent="0.25">
      <c r="A348" s="192"/>
      <c r="B348" s="193"/>
      <c r="C348" s="192"/>
      <c r="D348" s="194"/>
      <c r="E348" s="194"/>
      <c r="F348" s="194"/>
      <c r="G348" s="192"/>
      <c r="H348" s="192"/>
      <c r="I348" s="195"/>
      <c r="J348" s="194"/>
      <c r="K348" s="196"/>
      <c r="L348" s="195"/>
    </row>
    <row r="349" spans="1:12" x14ac:dyDescent="0.25">
      <c r="A349" s="192"/>
      <c r="B349" s="193"/>
      <c r="C349" s="192"/>
      <c r="D349" s="194"/>
      <c r="E349" s="194"/>
      <c r="F349" s="194"/>
      <c r="G349" s="192"/>
      <c r="H349" s="192"/>
      <c r="I349" s="195"/>
      <c r="J349" s="194"/>
      <c r="K349" s="196"/>
      <c r="L349" s="195"/>
    </row>
    <row r="350" spans="1:12" x14ac:dyDescent="0.25">
      <c r="A350" s="192"/>
      <c r="B350" s="193"/>
      <c r="C350" s="192"/>
      <c r="D350" s="194"/>
      <c r="E350" s="194"/>
      <c r="F350" s="194"/>
      <c r="G350" s="192"/>
      <c r="H350" s="192"/>
      <c r="I350" s="195"/>
      <c r="J350" s="194"/>
      <c r="K350" s="196"/>
      <c r="L350" s="195"/>
    </row>
    <row r="351" spans="1:12" x14ac:dyDescent="0.25">
      <c r="A351" s="192"/>
      <c r="B351" s="193"/>
      <c r="C351" s="192"/>
      <c r="D351" s="194"/>
      <c r="E351" s="194"/>
      <c r="F351" s="194"/>
      <c r="G351" s="192"/>
      <c r="H351" s="192"/>
      <c r="I351" s="195"/>
      <c r="J351" s="194"/>
      <c r="K351" s="196"/>
      <c r="L351" s="195"/>
    </row>
    <row r="352" spans="1:12" x14ac:dyDescent="0.25">
      <c r="A352" s="192"/>
      <c r="B352" s="193"/>
      <c r="C352" s="192"/>
      <c r="D352" s="194"/>
      <c r="E352" s="194"/>
      <c r="F352" s="194"/>
      <c r="G352" s="192"/>
      <c r="H352" s="192"/>
      <c r="I352" s="195"/>
      <c r="J352" s="194"/>
      <c r="K352" s="196"/>
      <c r="L352" s="195"/>
    </row>
    <row r="353" spans="1:12" x14ac:dyDescent="0.25">
      <c r="A353" s="192"/>
      <c r="B353" s="193"/>
      <c r="C353" s="192"/>
      <c r="D353" s="194"/>
      <c r="E353" s="194"/>
      <c r="F353" s="194"/>
      <c r="G353" s="192"/>
      <c r="H353" s="192"/>
      <c r="I353" s="195"/>
      <c r="J353" s="194"/>
      <c r="K353" s="196"/>
      <c r="L353" s="195"/>
    </row>
    <row r="354" spans="1:12" x14ac:dyDescent="0.25">
      <c r="A354" s="192"/>
      <c r="B354" s="193"/>
      <c r="C354" s="192"/>
      <c r="D354" s="194"/>
      <c r="E354" s="194"/>
      <c r="F354" s="194"/>
      <c r="G354" s="192"/>
      <c r="H354" s="192"/>
      <c r="I354" s="195"/>
      <c r="J354" s="194"/>
      <c r="K354" s="196"/>
      <c r="L354" s="195"/>
    </row>
    <row r="355" spans="1:12" x14ac:dyDescent="0.25">
      <c r="A355" s="192"/>
      <c r="B355" s="193"/>
      <c r="C355" s="192"/>
      <c r="D355" s="194"/>
      <c r="E355" s="194"/>
      <c r="F355" s="194"/>
      <c r="G355" s="192"/>
      <c r="H355" s="192"/>
      <c r="I355" s="195"/>
      <c r="J355" s="194"/>
      <c r="K355" s="196"/>
      <c r="L355" s="195"/>
    </row>
    <row r="356" spans="1:12" x14ac:dyDescent="0.25">
      <c r="A356" s="192"/>
      <c r="B356" s="193"/>
      <c r="C356" s="192"/>
      <c r="D356" s="194"/>
      <c r="E356" s="194"/>
      <c r="F356" s="194"/>
      <c r="G356" s="192"/>
      <c r="H356" s="192"/>
      <c r="I356" s="195"/>
      <c r="J356" s="194"/>
      <c r="K356" s="196"/>
      <c r="L356" s="195"/>
    </row>
    <row r="357" spans="1:12" x14ac:dyDescent="0.25">
      <c r="A357" s="192"/>
      <c r="B357" s="193"/>
      <c r="C357" s="192"/>
      <c r="D357" s="194"/>
      <c r="E357" s="194"/>
      <c r="F357" s="194"/>
      <c r="G357" s="192"/>
      <c r="H357" s="192"/>
      <c r="I357" s="195"/>
      <c r="J357" s="194"/>
      <c r="K357" s="196"/>
      <c r="L357" s="195"/>
    </row>
    <row r="358" spans="1:12" x14ac:dyDescent="0.25">
      <c r="A358" s="192"/>
      <c r="B358" s="193"/>
      <c r="C358" s="192"/>
      <c r="D358" s="194"/>
      <c r="E358" s="194"/>
      <c r="F358" s="194"/>
      <c r="G358" s="192"/>
      <c r="H358" s="192"/>
      <c r="I358" s="195"/>
      <c r="J358" s="194"/>
      <c r="K358" s="196"/>
      <c r="L358" s="195"/>
    </row>
    <row r="359" spans="1:12" x14ac:dyDescent="0.25">
      <c r="A359" s="192"/>
      <c r="B359" s="193"/>
      <c r="C359" s="192"/>
      <c r="D359" s="194"/>
      <c r="E359" s="194"/>
      <c r="F359" s="194"/>
      <c r="G359" s="192"/>
      <c r="H359" s="192"/>
      <c r="I359" s="195"/>
      <c r="J359" s="194"/>
      <c r="K359" s="196"/>
      <c r="L359" s="195"/>
    </row>
    <row r="360" spans="1:12" x14ac:dyDescent="0.25">
      <c r="A360" s="192"/>
      <c r="B360" s="193"/>
      <c r="C360" s="192"/>
      <c r="D360" s="194"/>
      <c r="E360" s="194"/>
      <c r="F360" s="194"/>
      <c r="G360" s="192"/>
      <c r="H360" s="192"/>
      <c r="I360" s="195"/>
      <c r="J360" s="194"/>
      <c r="K360" s="196"/>
      <c r="L360" s="195"/>
    </row>
    <row r="361" spans="1:12" x14ac:dyDescent="0.25">
      <c r="A361" s="192"/>
      <c r="B361" s="193"/>
      <c r="C361" s="192"/>
      <c r="D361" s="194"/>
      <c r="E361" s="194"/>
      <c r="F361" s="194"/>
      <c r="G361" s="192"/>
      <c r="H361" s="192"/>
      <c r="I361" s="195"/>
      <c r="J361" s="194"/>
      <c r="K361" s="196"/>
      <c r="L361" s="195"/>
    </row>
    <row r="362" spans="1:12" x14ac:dyDescent="0.25">
      <c r="A362" s="192"/>
      <c r="B362" s="193"/>
      <c r="C362" s="192"/>
      <c r="D362" s="194"/>
      <c r="E362" s="194"/>
      <c r="F362" s="194"/>
      <c r="G362" s="192"/>
      <c r="H362" s="192"/>
      <c r="I362" s="195"/>
      <c r="J362" s="194"/>
      <c r="K362" s="196"/>
      <c r="L362" s="195"/>
    </row>
    <row r="363" spans="1:12" x14ac:dyDescent="0.25">
      <c r="A363" s="192"/>
      <c r="B363" s="193"/>
      <c r="C363" s="192"/>
      <c r="D363" s="194"/>
      <c r="E363" s="194"/>
      <c r="F363" s="194"/>
      <c r="G363" s="192"/>
      <c r="H363" s="192"/>
      <c r="I363" s="195"/>
      <c r="J363" s="194"/>
      <c r="K363" s="196"/>
      <c r="L363" s="195"/>
    </row>
    <row r="364" spans="1:12" x14ac:dyDescent="0.25">
      <c r="A364" s="192"/>
      <c r="B364" s="193"/>
      <c r="C364" s="192"/>
      <c r="D364" s="194"/>
      <c r="E364" s="194"/>
      <c r="F364" s="194"/>
      <c r="G364" s="192"/>
      <c r="H364" s="192"/>
      <c r="I364" s="195"/>
      <c r="J364" s="194"/>
      <c r="K364" s="196"/>
      <c r="L364" s="195"/>
    </row>
    <row r="365" spans="1:12" x14ac:dyDescent="0.25">
      <c r="A365" s="192"/>
      <c r="B365" s="193"/>
      <c r="C365" s="192"/>
      <c r="D365" s="194"/>
      <c r="E365" s="194"/>
      <c r="F365" s="194"/>
      <c r="G365" s="192"/>
      <c r="H365" s="192"/>
      <c r="I365" s="195"/>
      <c r="J365" s="194"/>
      <c r="K365" s="196"/>
      <c r="L365" s="195"/>
    </row>
    <row r="366" spans="1:12" x14ac:dyDescent="0.25">
      <c r="A366" s="192"/>
      <c r="B366" s="193"/>
      <c r="C366" s="192"/>
      <c r="D366" s="194"/>
      <c r="E366" s="194"/>
      <c r="F366" s="194"/>
      <c r="G366" s="192"/>
      <c r="H366" s="192"/>
      <c r="I366" s="195"/>
      <c r="J366" s="194"/>
      <c r="K366" s="196"/>
      <c r="L366" s="195"/>
    </row>
    <row r="367" spans="1:12" x14ac:dyDescent="0.25">
      <c r="A367" s="192"/>
      <c r="B367" s="193"/>
      <c r="C367" s="192"/>
      <c r="D367" s="194"/>
      <c r="E367" s="194"/>
      <c r="F367" s="194"/>
      <c r="G367" s="192"/>
      <c r="H367" s="192"/>
      <c r="I367" s="195"/>
      <c r="J367" s="194"/>
      <c r="K367" s="196"/>
      <c r="L367" s="195"/>
    </row>
    <row r="368" spans="1:12" x14ac:dyDescent="0.25">
      <c r="A368" s="192"/>
      <c r="B368" s="193"/>
      <c r="C368" s="192"/>
      <c r="D368" s="194"/>
      <c r="E368" s="194"/>
      <c r="F368" s="194"/>
      <c r="G368" s="192"/>
      <c r="H368" s="192"/>
      <c r="I368" s="195"/>
      <c r="J368" s="194"/>
      <c r="K368" s="196"/>
      <c r="L368" s="195"/>
    </row>
    <row r="369" spans="1:12" x14ac:dyDescent="0.25">
      <c r="A369" s="192"/>
      <c r="B369" s="193"/>
      <c r="C369" s="192"/>
      <c r="D369" s="194"/>
      <c r="E369" s="194"/>
      <c r="F369" s="194"/>
      <c r="G369" s="192"/>
      <c r="H369" s="192"/>
      <c r="I369" s="195"/>
      <c r="J369" s="194"/>
      <c r="K369" s="196"/>
      <c r="L369" s="195"/>
    </row>
    <row r="370" spans="1:12" x14ac:dyDescent="0.25">
      <c r="A370" s="192"/>
      <c r="B370" s="193"/>
      <c r="C370" s="192"/>
      <c r="D370" s="194"/>
      <c r="E370" s="194"/>
      <c r="F370" s="194"/>
      <c r="G370" s="192"/>
      <c r="H370" s="192"/>
      <c r="I370" s="195"/>
      <c r="J370" s="194"/>
      <c r="K370" s="196"/>
      <c r="L370" s="195"/>
    </row>
    <row r="371" spans="1:12" x14ac:dyDescent="0.25">
      <c r="A371" s="192"/>
      <c r="B371" s="193"/>
      <c r="C371" s="192"/>
      <c r="D371" s="194"/>
      <c r="E371" s="194"/>
      <c r="F371" s="194"/>
      <c r="G371" s="192"/>
      <c r="H371" s="192"/>
      <c r="I371" s="195"/>
      <c r="J371" s="194"/>
      <c r="K371" s="196"/>
      <c r="L371" s="195"/>
    </row>
    <row r="372" spans="1:12" x14ac:dyDescent="0.25">
      <c r="A372" s="192"/>
      <c r="B372" s="193"/>
      <c r="C372" s="192"/>
      <c r="D372" s="194"/>
      <c r="E372" s="194"/>
      <c r="F372" s="194"/>
      <c r="G372" s="192"/>
      <c r="H372" s="192"/>
      <c r="I372" s="195"/>
      <c r="J372" s="194"/>
      <c r="K372" s="196"/>
      <c r="L372" s="195"/>
    </row>
    <row r="373" spans="1:12" x14ac:dyDescent="0.25">
      <c r="A373" s="192"/>
      <c r="B373" s="193"/>
      <c r="C373" s="192"/>
      <c r="D373" s="194"/>
      <c r="E373" s="194"/>
      <c r="F373" s="194"/>
      <c r="G373" s="192"/>
      <c r="H373" s="192"/>
      <c r="I373" s="195"/>
      <c r="J373" s="194"/>
      <c r="K373" s="196"/>
      <c r="L373" s="195"/>
    </row>
    <row r="374" spans="1:12" x14ac:dyDescent="0.25">
      <c r="A374" s="192"/>
      <c r="B374" s="193"/>
      <c r="C374" s="192"/>
      <c r="D374" s="194"/>
      <c r="E374" s="194"/>
      <c r="F374" s="194"/>
      <c r="G374" s="192"/>
      <c r="H374" s="192"/>
      <c r="I374" s="195"/>
      <c r="J374" s="194"/>
      <c r="K374" s="196"/>
      <c r="L374" s="195"/>
    </row>
    <row r="375" spans="1:12" x14ac:dyDescent="0.25">
      <c r="A375" s="192"/>
      <c r="B375" s="193"/>
      <c r="C375" s="192"/>
      <c r="D375" s="194"/>
      <c r="E375" s="194"/>
      <c r="F375" s="194"/>
      <c r="G375" s="192"/>
      <c r="H375" s="192"/>
      <c r="I375" s="195"/>
      <c r="J375" s="194"/>
      <c r="K375" s="196"/>
      <c r="L375" s="195"/>
    </row>
    <row r="376" spans="1:12" x14ac:dyDescent="0.25">
      <c r="A376" s="192"/>
      <c r="B376" s="193"/>
      <c r="C376" s="192"/>
      <c r="D376" s="194"/>
      <c r="E376" s="194"/>
      <c r="F376" s="194"/>
      <c r="G376" s="192"/>
      <c r="H376" s="192"/>
      <c r="I376" s="195"/>
      <c r="J376" s="194"/>
      <c r="K376" s="196"/>
      <c r="L376" s="195"/>
    </row>
    <row r="377" spans="1:12" x14ac:dyDescent="0.25">
      <c r="A377" s="192"/>
      <c r="B377" s="193"/>
      <c r="C377" s="192"/>
      <c r="D377" s="194"/>
      <c r="E377" s="194"/>
      <c r="F377" s="194"/>
      <c r="G377" s="192"/>
      <c r="H377" s="192"/>
      <c r="I377" s="195"/>
      <c r="J377" s="194"/>
      <c r="K377" s="196"/>
      <c r="L377" s="195"/>
    </row>
    <row r="378" spans="1:12" x14ac:dyDescent="0.25">
      <c r="A378" s="192"/>
      <c r="B378" s="193"/>
      <c r="C378" s="192"/>
      <c r="D378" s="194"/>
      <c r="E378" s="194"/>
      <c r="F378" s="194"/>
      <c r="G378" s="192"/>
      <c r="H378" s="192"/>
      <c r="I378" s="195"/>
      <c r="J378" s="194"/>
      <c r="K378" s="196"/>
      <c r="L378" s="195"/>
    </row>
    <row r="379" spans="1:12" x14ac:dyDescent="0.25">
      <c r="A379" s="192"/>
      <c r="B379" s="193"/>
      <c r="C379" s="192"/>
      <c r="D379" s="194"/>
      <c r="E379" s="194"/>
      <c r="F379" s="194"/>
      <c r="G379" s="192"/>
      <c r="H379" s="192"/>
      <c r="I379" s="195"/>
      <c r="J379" s="194"/>
      <c r="K379" s="196"/>
      <c r="L379" s="195"/>
    </row>
    <row r="380" spans="1:12" x14ac:dyDescent="0.25">
      <c r="A380" s="192"/>
      <c r="B380" s="193"/>
      <c r="C380" s="192"/>
      <c r="D380" s="194"/>
      <c r="E380" s="194"/>
      <c r="F380" s="194"/>
      <c r="G380" s="192"/>
      <c r="H380" s="192"/>
      <c r="I380" s="195"/>
      <c r="J380" s="194"/>
      <c r="K380" s="196"/>
      <c r="L380" s="195"/>
    </row>
    <row r="381" spans="1:12" x14ac:dyDescent="0.25">
      <c r="A381" s="192"/>
      <c r="B381" s="193"/>
      <c r="C381" s="192"/>
      <c r="D381" s="194"/>
      <c r="E381" s="194"/>
      <c r="F381" s="194"/>
      <c r="G381" s="192"/>
      <c r="H381" s="192"/>
      <c r="I381" s="195"/>
      <c r="J381" s="194"/>
      <c r="K381" s="196"/>
      <c r="L381" s="195"/>
    </row>
    <row r="382" spans="1:12" x14ac:dyDescent="0.25">
      <c r="A382" s="192"/>
      <c r="B382" s="193"/>
      <c r="C382" s="192"/>
      <c r="D382" s="194"/>
      <c r="E382" s="194"/>
      <c r="F382" s="194"/>
      <c r="G382" s="192"/>
      <c r="H382" s="192"/>
      <c r="I382" s="195"/>
      <c r="J382" s="194"/>
      <c r="K382" s="196"/>
      <c r="L382" s="195"/>
    </row>
    <row r="383" spans="1:12" x14ac:dyDescent="0.25">
      <c r="A383" s="192"/>
      <c r="B383" s="193"/>
      <c r="C383" s="192"/>
      <c r="D383" s="194"/>
      <c r="E383" s="194"/>
      <c r="F383" s="194"/>
      <c r="G383" s="192"/>
      <c r="H383" s="192"/>
      <c r="I383" s="195"/>
      <c r="J383" s="194"/>
      <c r="K383" s="196"/>
      <c r="L383" s="195"/>
    </row>
    <row r="384" spans="1:12" x14ac:dyDescent="0.25">
      <c r="A384" s="192"/>
      <c r="B384" s="193"/>
      <c r="C384" s="192"/>
      <c r="D384" s="194"/>
      <c r="E384" s="194"/>
      <c r="F384" s="194"/>
      <c r="G384" s="192"/>
      <c r="H384" s="192"/>
      <c r="I384" s="195"/>
      <c r="J384" s="194"/>
      <c r="K384" s="196"/>
      <c r="L384" s="195"/>
    </row>
    <row r="385" spans="1:12" x14ac:dyDescent="0.25">
      <c r="A385" s="192"/>
      <c r="B385" s="193"/>
      <c r="C385" s="192"/>
      <c r="D385" s="194"/>
      <c r="E385" s="194"/>
      <c r="F385" s="194"/>
      <c r="G385" s="192"/>
      <c r="H385" s="192"/>
      <c r="I385" s="195"/>
      <c r="J385" s="194"/>
      <c r="K385" s="196"/>
      <c r="L385" s="195"/>
    </row>
    <row r="386" spans="1:12" x14ac:dyDescent="0.25">
      <c r="A386" s="192"/>
      <c r="B386" s="193"/>
      <c r="C386" s="192"/>
      <c r="D386" s="194"/>
      <c r="E386" s="194"/>
      <c r="F386" s="194"/>
      <c r="G386" s="192"/>
      <c r="H386" s="192"/>
      <c r="I386" s="195"/>
      <c r="J386" s="194"/>
      <c r="K386" s="196"/>
      <c r="L386" s="195"/>
    </row>
    <row r="387" spans="1:12" x14ac:dyDescent="0.25">
      <c r="A387" s="192"/>
      <c r="B387" s="193"/>
      <c r="C387" s="192"/>
      <c r="D387" s="194"/>
      <c r="E387" s="194"/>
      <c r="F387" s="194"/>
      <c r="G387" s="192"/>
      <c r="H387" s="192"/>
      <c r="I387" s="195"/>
      <c r="J387" s="194"/>
      <c r="K387" s="196"/>
      <c r="L387" s="195"/>
    </row>
    <row r="388" spans="1:12" x14ac:dyDescent="0.25">
      <c r="A388" s="192"/>
      <c r="B388" s="193"/>
      <c r="C388" s="192"/>
      <c r="D388" s="194"/>
      <c r="E388" s="194"/>
      <c r="F388" s="194"/>
      <c r="G388" s="192"/>
      <c r="H388" s="192"/>
      <c r="I388" s="195"/>
      <c r="J388" s="194"/>
      <c r="K388" s="196"/>
      <c r="L388" s="195"/>
    </row>
    <row r="389" spans="1:12" x14ac:dyDescent="0.25">
      <c r="A389" s="192"/>
      <c r="B389" s="193"/>
      <c r="C389" s="192"/>
      <c r="D389" s="194"/>
      <c r="E389" s="194"/>
      <c r="F389" s="194"/>
      <c r="G389" s="192"/>
      <c r="H389" s="192"/>
      <c r="I389" s="195"/>
      <c r="J389" s="194"/>
      <c r="K389" s="196"/>
      <c r="L389" s="195"/>
    </row>
    <row r="390" spans="1:12" x14ac:dyDescent="0.25">
      <c r="A390" s="192"/>
      <c r="B390" s="193"/>
      <c r="C390" s="192"/>
      <c r="D390" s="194"/>
      <c r="E390" s="194"/>
      <c r="F390" s="194"/>
      <c r="G390" s="192"/>
      <c r="H390" s="192"/>
      <c r="I390" s="195"/>
      <c r="J390" s="194"/>
      <c r="K390" s="196"/>
      <c r="L390" s="195"/>
    </row>
    <row r="391" spans="1:12" x14ac:dyDescent="0.25">
      <c r="A391" s="192"/>
      <c r="B391" s="193"/>
      <c r="C391" s="192"/>
      <c r="D391" s="194"/>
      <c r="E391" s="194"/>
      <c r="F391" s="194"/>
      <c r="G391" s="192"/>
      <c r="H391" s="192"/>
      <c r="I391" s="195"/>
      <c r="J391" s="194"/>
      <c r="K391" s="196"/>
      <c r="L391" s="195"/>
    </row>
    <row r="392" spans="1:12" x14ac:dyDescent="0.25">
      <c r="A392" s="192"/>
      <c r="B392" s="193"/>
      <c r="C392" s="192"/>
      <c r="D392" s="194"/>
      <c r="E392" s="194"/>
      <c r="F392" s="194"/>
      <c r="G392" s="192"/>
      <c r="H392" s="192"/>
      <c r="I392" s="195"/>
      <c r="J392" s="194"/>
      <c r="K392" s="196"/>
      <c r="L392" s="195"/>
    </row>
    <row r="393" spans="1:12" x14ac:dyDescent="0.25">
      <c r="A393" s="192"/>
      <c r="B393" s="193"/>
      <c r="C393" s="192"/>
      <c r="D393" s="194"/>
      <c r="E393" s="194"/>
      <c r="F393" s="194"/>
      <c r="G393" s="192"/>
      <c r="H393" s="192"/>
      <c r="I393" s="195"/>
      <c r="J393" s="194"/>
      <c r="K393" s="196"/>
      <c r="L393" s="195"/>
    </row>
    <row r="394" spans="1:12" x14ac:dyDescent="0.25">
      <c r="A394" s="192"/>
      <c r="B394" s="193"/>
      <c r="C394" s="192"/>
      <c r="D394" s="194"/>
      <c r="E394" s="194"/>
      <c r="F394" s="194"/>
      <c r="G394" s="192"/>
      <c r="H394" s="192"/>
      <c r="I394" s="195"/>
      <c r="J394" s="194"/>
      <c r="K394" s="196"/>
      <c r="L394" s="195"/>
    </row>
    <row r="395" spans="1:12" x14ac:dyDescent="0.25">
      <c r="A395" s="192"/>
      <c r="B395" s="193"/>
      <c r="C395" s="192"/>
      <c r="D395" s="194"/>
      <c r="E395" s="194"/>
      <c r="F395" s="194"/>
      <c r="G395" s="192"/>
      <c r="H395" s="192"/>
      <c r="I395" s="195"/>
      <c r="J395" s="194"/>
      <c r="K395" s="196"/>
      <c r="L395" s="195"/>
    </row>
    <row r="396" spans="1:12" x14ac:dyDescent="0.25">
      <c r="A396" s="192"/>
      <c r="B396" s="193"/>
      <c r="C396" s="192"/>
      <c r="D396" s="194"/>
      <c r="E396" s="194"/>
      <c r="F396" s="194"/>
      <c r="G396" s="192"/>
      <c r="H396" s="192"/>
      <c r="I396" s="195"/>
      <c r="J396" s="194"/>
      <c r="K396" s="196"/>
      <c r="L396" s="195"/>
    </row>
    <row r="397" spans="1:12" x14ac:dyDescent="0.25">
      <c r="A397" s="192"/>
      <c r="B397" s="193"/>
      <c r="C397" s="192"/>
      <c r="D397" s="194"/>
      <c r="E397" s="194"/>
      <c r="F397" s="194"/>
      <c r="G397" s="192"/>
      <c r="H397" s="192"/>
      <c r="I397" s="195"/>
      <c r="J397" s="194"/>
      <c r="K397" s="196"/>
      <c r="L397" s="195"/>
    </row>
    <row r="398" spans="1:12" x14ac:dyDescent="0.25">
      <c r="A398" s="192"/>
      <c r="B398" s="193"/>
      <c r="C398" s="192"/>
      <c r="D398" s="194"/>
      <c r="E398" s="194"/>
      <c r="F398" s="194"/>
      <c r="G398" s="192"/>
      <c r="H398" s="192"/>
      <c r="I398" s="195"/>
      <c r="J398" s="194"/>
      <c r="K398" s="196"/>
      <c r="L398" s="195"/>
    </row>
    <row r="399" spans="1:12" x14ac:dyDescent="0.25">
      <c r="A399" s="192"/>
      <c r="B399" s="193"/>
      <c r="C399" s="192"/>
      <c r="D399" s="194"/>
      <c r="E399" s="194"/>
      <c r="F399" s="194"/>
      <c r="G399" s="192"/>
      <c r="H399" s="192"/>
      <c r="I399" s="195"/>
      <c r="J399" s="194"/>
      <c r="K399" s="196"/>
      <c r="L399" s="195"/>
    </row>
    <row r="400" spans="1:12" x14ac:dyDescent="0.25">
      <c r="A400" s="192"/>
      <c r="B400" s="193"/>
      <c r="C400" s="192"/>
      <c r="D400" s="194"/>
      <c r="E400" s="194"/>
      <c r="F400" s="194"/>
      <c r="G400" s="192"/>
      <c r="H400" s="192"/>
      <c r="I400" s="195"/>
      <c r="J400" s="194"/>
      <c r="K400" s="196"/>
      <c r="L400" s="195"/>
    </row>
    <row r="401" spans="1:12" x14ac:dyDescent="0.25">
      <c r="A401" s="192"/>
      <c r="B401" s="193"/>
      <c r="C401" s="192"/>
      <c r="D401" s="194"/>
      <c r="E401" s="194"/>
      <c r="F401" s="194"/>
      <c r="G401" s="192"/>
      <c r="H401" s="192"/>
      <c r="I401" s="195"/>
      <c r="J401" s="194"/>
      <c r="K401" s="196"/>
      <c r="L401" s="195"/>
    </row>
    <row r="402" spans="1:12" x14ac:dyDescent="0.25">
      <c r="A402" s="192"/>
      <c r="B402" s="193"/>
      <c r="C402" s="192"/>
      <c r="D402" s="194"/>
      <c r="E402" s="194"/>
      <c r="F402" s="194"/>
      <c r="G402" s="192"/>
      <c r="H402" s="192"/>
      <c r="I402" s="195"/>
      <c r="J402" s="194"/>
      <c r="K402" s="196"/>
      <c r="L402" s="195"/>
    </row>
    <row r="403" spans="1:12" x14ac:dyDescent="0.25">
      <c r="A403" s="192"/>
      <c r="B403" s="193"/>
      <c r="C403" s="192"/>
      <c r="D403" s="194"/>
      <c r="E403" s="194"/>
      <c r="F403" s="194"/>
      <c r="G403" s="192"/>
      <c r="H403" s="192"/>
      <c r="I403" s="195"/>
      <c r="J403" s="194"/>
      <c r="K403" s="196"/>
      <c r="L403" s="195"/>
    </row>
    <row r="404" spans="1:12" x14ac:dyDescent="0.25">
      <c r="A404" s="192"/>
      <c r="B404" s="193"/>
      <c r="C404" s="192"/>
      <c r="D404" s="194"/>
      <c r="E404" s="194"/>
      <c r="F404" s="194"/>
      <c r="G404" s="192"/>
      <c r="H404" s="192"/>
      <c r="I404" s="195"/>
      <c r="J404" s="194"/>
      <c r="K404" s="196"/>
      <c r="L404" s="195"/>
    </row>
    <row r="405" spans="1:12" x14ac:dyDescent="0.25">
      <c r="A405" s="192"/>
      <c r="B405" s="193"/>
      <c r="C405" s="192"/>
      <c r="D405" s="194"/>
      <c r="E405" s="194"/>
      <c r="F405" s="194"/>
      <c r="G405" s="192"/>
      <c r="H405" s="192"/>
      <c r="I405" s="195"/>
      <c r="J405" s="194"/>
      <c r="K405" s="196"/>
      <c r="L405" s="195"/>
    </row>
    <row r="406" spans="1:12" x14ac:dyDescent="0.25">
      <c r="A406" s="192"/>
      <c r="B406" s="193"/>
      <c r="C406" s="192"/>
      <c r="D406" s="194"/>
      <c r="E406" s="194"/>
      <c r="F406" s="194"/>
      <c r="G406" s="192"/>
      <c r="H406" s="192"/>
      <c r="I406" s="195"/>
      <c r="J406" s="194"/>
      <c r="K406" s="196"/>
      <c r="L406" s="195"/>
    </row>
    <row r="407" spans="1:12" x14ac:dyDescent="0.25">
      <c r="A407" s="192"/>
      <c r="B407" s="193"/>
      <c r="C407" s="192"/>
      <c r="D407" s="194"/>
      <c r="E407" s="194"/>
      <c r="F407" s="194"/>
      <c r="G407" s="192"/>
      <c r="H407" s="192"/>
      <c r="I407" s="195"/>
      <c r="J407" s="194"/>
      <c r="K407" s="196"/>
      <c r="L407" s="195"/>
    </row>
    <row r="408" spans="1:12" x14ac:dyDescent="0.25">
      <c r="A408" s="192"/>
      <c r="B408" s="193"/>
      <c r="C408" s="192"/>
      <c r="D408" s="194"/>
      <c r="E408" s="194"/>
      <c r="F408" s="194"/>
      <c r="G408" s="192"/>
      <c r="H408" s="192"/>
      <c r="I408" s="195"/>
      <c r="J408" s="194"/>
      <c r="K408" s="196"/>
      <c r="L408" s="195"/>
    </row>
    <row r="409" spans="1:12" x14ac:dyDescent="0.25">
      <c r="A409" s="192"/>
      <c r="B409" s="193"/>
      <c r="C409" s="192"/>
      <c r="D409" s="194"/>
      <c r="E409" s="194"/>
      <c r="F409" s="194"/>
      <c r="G409" s="192"/>
      <c r="H409" s="192"/>
      <c r="I409" s="195"/>
      <c r="J409" s="194"/>
      <c r="K409" s="196"/>
      <c r="L409" s="195"/>
    </row>
    <row r="410" spans="1:12" x14ac:dyDescent="0.25">
      <c r="A410" s="192"/>
      <c r="B410" s="193"/>
      <c r="C410" s="192"/>
      <c r="D410" s="194"/>
      <c r="E410" s="194"/>
      <c r="F410" s="194"/>
      <c r="G410" s="192"/>
      <c r="H410" s="192"/>
      <c r="I410" s="195"/>
      <c r="J410" s="194"/>
      <c r="K410" s="196"/>
      <c r="L410" s="195"/>
    </row>
    <row r="411" spans="1:12" x14ac:dyDescent="0.25">
      <c r="A411" s="192"/>
      <c r="B411" s="193"/>
      <c r="C411" s="192"/>
      <c r="D411" s="194"/>
      <c r="E411" s="194"/>
      <c r="F411" s="194"/>
      <c r="G411" s="192"/>
      <c r="H411" s="192"/>
      <c r="I411" s="195"/>
      <c r="J411" s="194"/>
      <c r="K411" s="196"/>
      <c r="L411" s="195"/>
    </row>
    <row r="412" spans="1:12" x14ac:dyDescent="0.25">
      <c r="A412" s="192"/>
      <c r="B412" s="193"/>
      <c r="C412" s="192"/>
      <c r="D412" s="194"/>
      <c r="E412" s="194"/>
      <c r="F412" s="194"/>
      <c r="G412" s="192"/>
      <c r="H412" s="192"/>
      <c r="I412" s="195"/>
      <c r="J412" s="194"/>
      <c r="K412" s="196"/>
      <c r="L412" s="195"/>
    </row>
    <row r="413" spans="1:12" x14ac:dyDescent="0.25">
      <c r="A413" s="192"/>
      <c r="B413" s="193"/>
      <c r="C413" s="192"/>
      <c r="D413" s="194"/>
      <c r="E413" s="194"/>
      <c r="F413" s="194"/>
      <c r="G413" s="192"/>
      <c r="H413" s="192"/>
      <c r="I413" s="195"/>
      <c r="J413" s="194"/>
      <c r="K413" s="196"/>
      <c r="L413" s="195"/>
    </row>
    <row r="414" spans="1:12" x14ac:dyDescent="0.25">
      <c r="A414" s="192"/>
      <c r="B414" s="193"/>
      <c r="C414" s="192"/>
      <c r="D414" s="194"/>
      <c r="E414" s="194"/>
      <c r="F414" s="194"/>
      <c r="G414" s="192"/>
      <c r="H414" s="192"/>
      <c r="I414" s="195"/>
      <c r="J414" s="194"/>
      <c r="K414" s="196"/>
      <c r="L414" s="195"/>
    </row>
    <row r="415" spans="1:12" x14ac:dyDescent="0.25">
      <c r="A415" s="192"/>
      <c r="B415" s="193"/>
      <c r="C415" s="192"/>
      <c r="D415" s="194"/>
      <c r="E415" s="194"/>
      <c r="F415" s="194"/>
      <c r="G415" s="192"/>
      <c r="H415" s="192"/>
      <c r="I415" s="195"/>
      <c r="J415" s="194"/>
      <c r="K415" s="196"/>
      <c r="L415" s="195"/>
    </row>
    <row r="416" spans="1:12" x14ac:dyDescent="0.25">
      <c r="A416" s="192"/>
      <c r="B416" s="193"/>
      <c r="C416" s="192"/>
      <c r="D416" s="194"/>
      <c r="E416" s="194"/>
      <c r="F416" s="194"/>
      <c r="G416" s="192"/>
      <c r="H416" s="192"/>
      <c r="I416" s="195"/>
      <c r="J416" s="194"/>
      <c r="K416" s="196"/>
      <c r="L416" s="195"/>
    </row>
    <row r="417" spans="1:12" x14ac:dyDescent="0.25">
      <c r="A417" s="192"/>
      <c r="B417" s="193"/>
      <c r="C417" s="192"/>
      <c r="D417" s="194"/>
      <c r="E417" s="194"/>
      <c r="F417" s="194"/>
      <c r="G417" s="192"/>
      <c r="H417" s="192"/>
      <c r="I417" s="195"/>
      <c r="J417" s="194"/>
      <c r="K417" s="196"/>
      <c r="L417" s="195"/>
    </row>
    <row r="418" spans="1:12" x14ac:dyDescent="0.25">
      <c r="A418" s="192"/>
      <c r="B418" s="193"/>
      <c r="C418" s="192"/>
      <c r="D418" s="194"/>
      <c r="E418" s="194"/>
      <c r="F418" s="194"/>
      <c r="G418" s="192"/>
      <c r="H418" s="192"/>
      <c r="I418" s="195"/>
      <c r="J418" s="194"/>
      <c r="K418" s="196"/>
      <c r="L418" s="195"/>
    </row>
    <row r="419" spans="1:12" x14ac:dyDescent="0.25">
      <c r="A419" s="192"/>
      <c r="B419" s="193"/>
      <c r="C419" s="192"/>
      <c r="D419" s="194"/>
      <c r="E419" s="194"/>
      <c r="F419" s="194"/>
      <c r="G419" s="192"/>
      <c r="H419" s="192"/>
      <c r="I419" s="195"/>
      <c r="J419" s="194"/>
      <c r="K419" s="196"/>
      <c r="L419" s="195"/>
    </row>
    <row r="420" spans="1:12" x14ac:dyDescent="0.25">
      <c r="A420" s="192"/>
      <c r="B420" s="193"/>
      <c r="C420" s="192"/>
      <c r="D420" s="194"/>
      <c r="E420" s="194"/>
      <c r="F420" s="194"/>
      <c r="G420" s="192"/>
      <c r="H420" s="192"/>
      <c r="I420" s="195"/>
      <c r="J420" s="194"/>
      <c r="K420" s="196"/>
      <c r="L420" s="195"/>
    </row>
    <row r="421" spans="1:12" x14ac:dyDescent="0.25">
      <c r="A421" s="192"/>
      <c r="B421" s="193"/>
      <c r="C421" s="192"/>
      <c r="D421" s="194"/>
      <c r="E421" s="194"/>
      <c r="F421" s="194"/>
      <c r="G421" s="192"/>
      <c r="H421" s="192"/>
      <c r="I421" s="195"/>
      <c r="J421" s="194"/>
      <c r="K421" s="196"/>
      <c r="L421" s="195"/>
    </row>
    <row r="422" spans="1:12" x14ac:dyDescent="0.25">
      <c r="A422" s="192"/>
      <c r="B422" s="193"/>
      <c r="C422" s="192"/>
      <c r="D422" s="194"/>
      <c r="E422" s="194"/>
      <c r="F422" s="194"/>
      <c r="G422" s="192"/>
      <c r="H422" s="192"/>
      <c r="I422" s="195"/>
      <c r="J422" s="194"/>
      <c r="K422" s="196"/>
      <c r="L422" s="195"/>
    </row>
    <row r="423" spans="1:12" x14ac:dyDescent="0.25">
      <c r="A423" s="192"/>
      <c r="B423" s="193"/>
      <c r="C423" s="192"/>
      <c r="D423" s="194"/>
      <c r="E423" s="194"/>
      <c r="F423" s="194"/>
      <c r="G423" s="192"/>
      <c r="H423" s="192"/>
      <c r="I423" s="195"/>
      <c r="J423" s="194"/>
      <c r="K423" s="196"/>
      <c r="L423" s="195"/>
    </row>
    <row r="424" spans="1:12" x14ac:dyDescent="0.25">
      <c r="A424" s="192"/>
      <c r="B424" s="193"/>
      <c r="C424" s="192"/>
      <c r="D424" s="194"/>
      <c r="E424" s="194"/>
      <c r="F424" s="194"/>
      <c r="G424" s="192"/>
      <c r="H424" s="192"/>
      <c r="I424" s="195"/>
      <c r="J424" s="194"/>
      <c r="K424" s="196"/>
      <c r="L424" s="195"/>
    </row>
    <row r="425" spans="1:12" x14ac:dyDescent="0.25">
      <c r="A425" s="192"/>
      <c r="B425" s="193"/>
      <c r="C425" s="192"/>
      <c r="D425" s="194"/>
      <c r="E425" s="194"/>
      <c r="F425" s="194"/>
      <c r="G425" s="192"/>
      <c r="H425" s="192"/>
      <c r="I425" s="195"/>
      <c r="J425" s="194"/>
      <c r="K425" s="196"/>
      <c r="L425" s="195"/>
    </row>
    <row r="426" spans="1:12" x14ac:dyDescent="0.25">
      <c r="A426" s="192"/>
      <c r="B426" s="193"/>
      <c r="C426" s="192"/>
      <c r="D426" s="194"/>
      <c r="E426" s="194"/>
      <c r="F426" s="194"/>
      <c r="G426" s="192"/>
      <c r="H426" s="192"/>
      <c r="I426" s="195"/>
      <c r="J426" s="194"/>
      <c r="K426" s="196"/>
      <c r="L426" s="195"/>
    </row>
    <row r="427" spans="1:12" x14ac:dyDescent="0.25">
      <c r="A427" s="192"/>
      <c r="B427" s="193"/>
      <c r="C427" s="192"/>
      <c r="D427" s="194"/>
      <c r="E427" s="194"/>
      <c r="F427" s="194"/>
      <c r="G427" s="192"/>
      <c r="H427" s="192"/>
      <c r="I427" s="195"/>
      <c r="J427" s="194"/>
      <c r="K427" s="196"/>
      <c r="L427" s="195"/>
    </row>
    <row r="428" spans="1:12" x14ac:dyDescent="0.25">
      <c r="A428" s="192"/>
      <c r="B428" s="193"/>
      <c r="C428" s="192"/>
      <c r="D428" s="194"/>
      <c r="E428" s="194"/>
      <c r="F428" s="194"/>
      <c r="G428" s="192"/>
      <c r="H428" s="192"/>
      <c r="I428" s="195"/>
      <c r="J428" s="194"/>
      <c r="K428" s="196"/>
      <c r="L428" s="195"/>
    </row>
    <row r="429" spans="1:12" x14ac:dyDescent="0.25">
      <c r="A429" s="192"/>
      <c r="B429" s="193"/>
      <c r="C429" s="192"/>
      <c r="D429" s="194"/>
      <c r="E429" s="194"/>
      <c r="F429" s="194"/>
      <c r="G429" s="192"/>
      <c r="H429" s="192"/>
      <c r="I429" s="195"/>
      <c r="J429" s="194"/>
      <c r="K429" s="196"/>
      <c r="L429" s="195"/>
    </row>
    <row r="430" spans="1:12" x14ac:dyDescent="0.25">
      <c r="A430" s="192"/>
      <c r="B430" s="193"/>
      <c r="C430" s="192"/>
      <c r="D430" s="194"/>
      <c r="E430" s="194"/>
      <c r="F430" s="194"/>
      <c r="G430" s="192"/>
      <c r="H430" s="192"/>
      <c r="I430" s="195"/>
      <c r="J430" s="194"/>
      <c r="K430" s="196"/>
      <c r="L430" s="195"/>
    </row>
    <row r="431" spans="1:12" x14ac:dyDescent="0.25">
      <c r="A431" s="192"/>
      <c r="B431" s="193"/>
      <c r="C431" s="192"/>
      <c r="D431" s="194"/>
      <c r="E431" s="194"/>
      <c r="F431" s="194"/>
      <c r="G431" s="192"/>
      <c r="H431" s="192"/>
      <c r="I431" s="195"/>
      <c r="J431" s="194"/>
      <c r="K431" s="196"/>
      <c r="L431" s="195"/>
    </row>
    <row r="432" spans="1:12" x14ac:dyDescent="0.25">
      <c r="A432" s="192"/>
      <c r="B432" s="193"/>
      <c r="C432" s="192"/>
      <c r="D432" s="194"/>
      <c r="E432" s="194"/>
      <c r="F432" s="194"/>
      <c r="G432" s="192"/>
      <c r="H432" s="192"/>
      <c r="I432" s="195"/>
      <c r="J432" s="194"/>
      <c r="K432" s="196"/>
      <c r="L432" s="195"/>
    </row>
    <row r="433" spans="1:12" x14ac:dyDescent="0.25">
      <c r="A433" s="192"/>
      <c r="B433" s="193"/>
      <c r="C433" s="192"/>
      <c r="D433" s="194"/>
      <c r="E433" s="194"/>
      <c r="F433" s="194"/>
      <c r="G433" s="192"/>
      <c r="H433" s="192"/>
      <c r="I433" s="195"/>
      <c r="J433" s="194"/>
      <c r="K433" s="196"/>
      <c r="L433" s="195"/>
    </row>
    <row r="434" spans="1:12" x14ac:dyDescent="0.25">
      <c r="A434" s="192"/>
      <c r="B434" s="193"/>
      <c r="C434" s="192"/>
      <c r="D434" s="194"/>
      <c r="E434" s="194"/>
      <c r="F434" s="194"/>
      <c r="G434" s="192"/>
      <c r="H434" s="192"/>
      <c r="I434" s="195"/>
      <c r="J434" s="194"/>
      <c r="K434" s="196"/>
      <c r="L434" s="195"/>
    </row>
    <row r="435" spans="1:12" x14ac:dyDescent="0.25">
      <c r="A435" s="192"/>
      <c r="B435" s="193"/>
      <c r="C435" s="192"/>
      <c r="D435" s="194"/>
      <c r="E435" s="194"/>
      <c r="F435" s="194"/>
      <c r="G435" s="192"/>
      <c r="H435" s="192"/>
      <c r="I435" s="195"/>
      <c r="J435" s="194"/>
      <c r="K435" s="196"/>
      <c r="L435" s="195"/>
    </row>
    <row r="436" spans="1:12" x14ac:dyDescent="0.25">
      <c r="A436" s="192"/>
      <c r="B436" s="193"/>
      <c r="C436" s="192"/>
      <c r="D436" s="194"/>
      <c r="E436" s="194"/>
      <c r="F436" s="194"/>
      <c r="G436" s="192"/>
      <c r="H436" s="192"/>
      <c r="I436" s="195"/>
      <c r="J436" s="194"/>
      <c r="K436" s="196"/>
      <c r="L436" s="195"/>
    </row>
    <row r="437" spans="1:12" x14ac:dyDescent="0.25">
      <c r="A437" s="192"/>
      <c r="B437" s="193"/>
      <c r="C437" s="192"/>
      <c r="D437" s="194"/>
      <c r="E437" s="194"/>
      <c r="F437" s="194"/>
      <c r="G437" s="192"/>
      <c r="H437" s="192"/>
      <c r="I437" s="195"/>
      <c r="J437" s="194"/>
      <c r="K437" s="196"/>
      <c r="L437" s="195"/>
    </row>
    <row r="438" spans="1:12" x14ac:dyDescent="0.25">
      <c r="A438" s="192"/>
      <c r="B438" s="193"/>
      <c r="C438" s="192"/>
      <c r="D438" s="194"/>
      <c r="E438" s="194"/>
      <c r="F438" s="194"/>
      <c r="G438" s="192"/>
      <c r="H438" s="192"/>
      <c r="I438" s="195"/>
      <c r="J438" s="194"/>
      <c r="K438" s="196"/>
      <c r="L438" s="195"/>
    </row>
    <row r="439" spans="1:12" x14ac:dyDescent="0.25">
      <c r="A439" s="192"/>
      <c r="B439" s="193"/>
      <c r="C439" s="192"/>
      <c r="D439" s="194"/>
      <c r="E439" s="194"/>
      <c r="F439" s="194"/>
      <c r="G439" s="192"/>
      <c r="H439" s="192"/>
      <c r="I439" s="195"/>
      <c r="J439" s="194"/>
      <c r="K439" s="196"/>
      <c r="L439" s="195"/>
    </row>
    <row r="440" spans="1:12" x14ac:dyDescent="0.25">
      <c r="A440" s="192"/>
      <c r="B440" s="193"/>
      <c r="C440" s="192"/>
      <c r="D440" s="194"/>
      <c r="E440" s="194"/>
      <c r="F440" s="194"/>
      <c r="G440" s="192"/>
      <c r="H440" s="192"/>
      <c r="I440" s="195"/>
      <c r="J440" s="194"/>
      <c r="K440" s="196"/>
      <c r="L440" s="195"/>
    </row>
    <row r="441" spans="1:12" x14ac:dyDescent="0.25">
      <c r="A441" s="192"/>
      <c r="B441" s="193"/>
      <c r="C441" s="192"/>
      <c r="D441" s="194"/>
      <c r="E441" s="194"/>
      <c r="F441" s="194"/>
      <c r="G441" s="192"/>
      <c r="H441" s="192"/>
      <c r="I441" s="195"/>
      <c r="J441" s="194"/>
      <c r="K441" s="196"/>
      <c r="L441" s="195"/>
    </row>
    <row r="442" spans="1:12" x14ac:dyDescent="0.25">
      <c r="A442" s="192"/>
      <c r="B442" s="193"/>
      <c r="C442" s="192"/>
      <c r="D442" s="194"/>
      <c r="E442" s="194"/>
      <c r="F442" s="194"/>
      <c r="G442" s="192"/>
      <c r="H442" s="192"/>
      <c r="I442" s="195"/>
      <c r="J442" s="194"/>
      <c r="K442" s="196"/>
      <c r="L442" s="195"/>
    </row>
    <row r="443" spans="1:12" x14ac:dyDescent="0.25">
      <c r="A443" s="192"/>
      <c r="B443" s="193"/>
      <c r="C443" s="192"/>
      <c r="D443" s="194"/>
      <c r="E443" s="194"/>
      <c r="F443" s="194"/>
      <c r="G443" s="192"/>
      <c r="H443" s="192"/>
      <c r="I443" s="195"/>
      <c r="J443" s="194"/>
      <c r="K443" s="196"/>
      <c r="L443" s="195"/>
    </row>
    <row r="444" spans="1:12" x14ac:dyDescent="0.25">
      <c r="A444" s="192"/>
      <c r="B444" s="193"/>
      <c r="C444" s="192"/>
      <c r="D444" s="194"/>
      <c r="E444" s="194"/>
      <c r="F444" s="194"/>
      <c r="G444" s="192"/>
      <c r="H444" s="192"/>
      <c r="I444" s="195"/>
      <c r="J444" s="194"/>
      <c r="K444" s="196"/>
      <c r="L444" s="195"/>
    </row>
    <row r="445" spans="1:12" x14ac:dyDescent="0.25">
      <c r="A445" s="192"/>
      <c r="B445" s="193"/>
      <c r="C445" s="192"/>
      <c r="D445" s="194"/>
      <c r="E445" s="194"/>
      <c r="F445" s="194"/>
      <c r="G445" s="192"/>
      <c r="H445" s="192"/>
      <c r="I445" s="195"/>
      <c r="J445" s="194"/>
      <c r="K445" s="196"/>
      <c r="L445" s="195"/>
    </row>
    <row r="446" spans="1:12" x14ac:dyDescent="0.25">
      <c r="A446" s="192"/>
      <c r="B446" s="193"/>
      <c r="C446" s="192"/>
      <c r="D446" s="194"/>
      <c r="E446" s="194"/>
      <c r="F446" s="194"/>
      <c r="G446" s="192"/>
      <c r="H446" s="192"/>
      <c r="I446" s="195"/>
      <c r="J446" s="194"/>
      <c r="K446" s="196"/>
      <c r="L446" s="195"/>
    </row>
    <row r="447" spans="1:12" x14ac:dyDescent="0.25">
      <c r="A447" s="192"/>
      <c r="B447" s="193"/>
      <c r="C447" s="192"/>
      <c r="D447" s="194"/>
      <c r="E447" s="194"/>
      <c r="F447" s="194"/>
      <c r="G447" s="192"/>
      <c r="H447" s="192"/>
      <c r="I447" s="195"/>
      <c r="J447" s="194"/>
      <c r="K447" s="196"/>
      <c r="L447" s="195"/>
    </row>
    <row r="448" spans="1:12" x14ac:dyDescent="0.25">
      <c r="A448" s="192"/>
      <c r="B448" s="193"/>
      <c r="C448" s="192"/>
      <c r="D448" s="194"/>
      <c r="E448" s="194"/>
      <c r="F448" s="194"/>
      <c r="G448" s="192"/>
      <c r="H448" s="192"/>
      <c r="I448" s="195"/>
      <c r="J448" s="194"/>
      <c r="K448" s="196"/>
      <c r="L448" s="195"/>
    </row>
    <row r="449" spans="1:12" x14ac:dyDescent="0.25">
      <c r="A449" s="192"/>
      <c r="B449" s="193"/>
      <c r="C449" s="192"/>
      <c r="D449" s="194"/>
      <c r="E449" s="194"/>
      <c r="F449" s="194"/>
      <c r="G449" s="192"/>
      <c r="H449" s="192"/>
      <c r="I449" s="195"/>
      <c r="J449" s="194"/>
      <c r="K449" s="196"/>
      <c r="L449" s="195"/>
    </row>
    <row r="450" spans="1:12" x14ac:dyDescent="0.25">
      <c r="A450" s="192"/>
      <c r="B450" s="193"/>
      <c r="C450" s="192"/>
      <c r="D450" s="194"/>
      <c r="E450" s="194"/>
      <c r="F450" s="194"/>
      <c r="G450" s="192"/>
      <c r="H450" s="192"/>
      <c r="I450" s="195"/>
      <c r="J450" s="194"/>
      <c r="K450" s="196"/>
      <c r="L450" s="195"/>
    </row>
    <row r="451" spans="1:12" x14ac:dyDescent="0.25">
      <c r="A451" s="192"/>
      <c r="B451" s="193"/>
      <c r="C451" s="192"/>
      <c r="D451" s="194"/>
      <c r="E451" s="194"/>
      <c r="F451" s="194"/>
      <c r="G451" s="192"/>
      <c r="H451" s="192"/>
      <c r="I451" s="195"/>
      <c r="J451" s="194"/>
      <c r="K451" s="196"/>
      <c r="L451" s="195"/>
    </row>
    <row r="452" spans="1:12" x14ac:dyDescent="0.25">
      <c r="A452" s="192"/>
      <c r="B452" s="193"/>
      <c r="C452" s="192"/>
      <c r="D452" s="194"/>
      <c r="E452" s="194"/>
      <c r="F452" s="194"/>
      <c r="G452" s="192"/>
      <c r="H452" s="192"/>
      <c r="I452" s="195"/>
      <c r="J452" s="194"/>
      <c r="K452" s="196"/>
      <c r="L452" s="195"/>
    </row>
    <row r="453" spans="1:12" x14ac:dyDescent="0.25">
      <c r="A453" s="192"/>
      <c r="B453" s="193"/>
      <c r="C453" s="192"/>
      <c r="D453" s="194"/>
      <c r="E453" s="194"/>
      <c r="F453" s="194"/>
      <c r="G453" s="192"/>
      <c r="H453" s="192"/>
      <c r="I453" s="195"/>
      <c r="J453" s="194"/>
      <c r="K453" s="196"/>
      <c r="L453" s="195"/>
    </row>
    <row r="454" spans="1:12" x14ac:dyDescent="0.25">
      <c r="A454" s="192"/>
      <c r="B454" s="193"/>
      <c r="C454" s="192"/>
      <c r="D454" s="194"/>
      <c r="E454" s="194"/>
      <c r="F454" s="194"/>
      <c r="G454" s="192"/>
      <c r="H454" s="192"/>
      <c r="I454" s="195"/>
      <c r="J454" s="194"/>
      <c r="K454" s="196"/>
      <c r="L454" s="195"/>
    </row>
    <row r="455" spans="1:12" x14ac:dyDescent="0.25">
      <c r="A455" s="192"/>
      <c r="B455" s="193"/>
      <c r="C455" s="192"/>
      <c r="D455" s="194"/>
      <c r="E455" s="194"/>
      <c r="F455" s="194"/>
      <c r="G455" s="192"/>
      <c r="H455" s="192"/>
      <c r="I455" s="195"/>
      <c r="J455" s="194"/>
      <c r="K455" s="196"/>
      <c r="L455" s="195"/>
    </row>
    <row r="456" spans="1:12" x14ac:dyDescent="0.25">
      <c r="A456" s="192"/>
      <c r="B456" s="193"/>
      <c r="C456" s="192"/>
      <c r="D456" s="194"/>
      <c r="E456" s="194"/>
      <c r="F456" s="194"/>
      <c r="G456" s="192"/>
      <c r="H456" s="192"/>
      <c r="I456" s="195"/>
      <c r="J456" s="194"/>
      <c r="K456" s="196"/>
      <c r="L456" s="195"/>
    </row>
    <row r="457" spans="1:12" x14ac:dyDescent="0.25">
      <c r="A457" s="192"/>
      <c r="B457" s="193"/>
      <c r="C457" s="192"/>
      <c r="D457" s="194"/>
      <c r="E457" s="194"/>
      <c r="F457" s="194"/>
      <c r="G457" s="192"/>
      <c r="H457" s="192"/>
      <c r="I457" s="195"/>
      <c r="J457" s="194"/>
      <c r="K457" s="196"/>
      <c r="L457" s="195"/>
    </row>
    <row r="458" spans="1:12" x14ac:dyDescent="0.25">
      <c r="A458" s="192"/>
      <c r="B458" s="193"/>
      <c r="C458" s="192"/>
      <c r="D458" s="194"/>
      <c r="E458" s="194"/>
      <c r="F458" s="194"/>
      <c r="G458" s="192"/>
      <c r="H458" s="192"/>
      <c r="I458" s="195"/>
      <c r="J458" s="194"/>
      <c r="K458" s="196"/>
      <c r="L458" s="195"/>
    </row>
    <row r="459" spans="1:12" x14ac:dyDescent="0.25">
      <c r="A459" s="192"/>
      <c r="B459" s="193"/>
      <c r="C459" s="192"/>
      <c r="D459" s="194"/>
      <c r="E459" s="194"/>
      <c r="F459" s="194"/>
      <c r="G459" s="192"/>
      <c r="H459" s="192"/>
      <c r="I459" s="195"/>
      <c r="J459" s="194"/>
      <c r="K459" s="196"/>
      <c r="L459" s="195"/>
    </row>
    <row r="460" spans="1:12" x14ac:dyDescent="0.25">
      <c r="A460" s="192"/>
      <c r="B460" s="193"/>
      <c r="C460" s="192"/>
      <c r="D460" s="194"/>
      <c r="E460" s="194"/>
      <c r="F460" s="194"/>
      <c r="G460" s="192"/>
      <c r="H460" s="192"/>
      <c r="I460" s="195"/>
      <c r="J460" s="194"/>
      <c r="K460" s="196"/>
      <c r="L460" s="195"/>
    </row>
    <row r="461" spans="1:12" x14ac:dyDescent="0.25">
      <c r="A461" s="192"/>
      <c r="B461" s="193"/>
      <c r="C461" s="192"/>
      <c r="D461" s="194"/>
      <c r="E461" s="194"/>
      <c r="F461" s="194"/>
      <c r="G461" s="192"/>
      <c r="H461" s="192"/>
      <c r="I461" s="195"/>
      <c r="J461" s="194"/>
      <c r="K461" s="196"/>
      <c r="L461" s="195"/>
    </row>
    <row r="462" spans="1:12" x14ac:dyDescent="0.25">
      <c r="A462" s="192"/>
      <c r="B462" s="193"/>
      <c r="C462" s="192"/>
      <c r="D462" s="194"/>
      <c r="E462" s="194"/>
      <c r="F462" s="194"/>
      <c r="G462" s="192"/>
      <c r="H462" s="192"/>
      <c r="I462" s="195"/>
      <c r="J462" s="194"/>
      <c r="K462" s="196"/>
      <c r="L462" s="195"/>
    </row>
    <row r="463" spans="1:12" x14ac:dyDescent="0.25">
      <c r="A463" s="192"/>
      <c r="B463" s="193"/>
      <c r="C463" s="192"/>
      <c r="D463" s="194"/>
      <c r="E463" s="194"/>
      <c r="F463" s="194"/>
      <c r="G463" s="192"/>
      <c r="H463" s="192"/>
      <c r="I463" s="195"/>
      <c r="J463" s="194"/>
      <c r="K463" s="196"/>
      <c r="L463" s="195"/>
    </row>
    <row r="464" spans="1:12" x14ac:dyDescent="0.25">
      <c r="A464" s="192"/>
      <c r="B464" s="193"/>
      <c r="C464" s="192"/>
      <c r="D464" s="194"/>
      <c r="E464" s="194"/>
      <c r="F464" s="194"/>
      <c r="G464" s="192"/>
      <c r="H464" s="192"/>
      <c r="I464" s="195"/>
      <c r="J464" s="194"/>
      <c r="K464" s="196"/>
      <c r="L464" s="195"/>
    </row>
    <row r="465" spans="1:12" x14ac:dyDescent="0.25">
      <c r="A465" s="192"/>
      <c r="B465" s="193"/>
      <c r="C465" s="192"/>
      <c r="D465" s="194"/>
      <c r="E465" s="194"/>
      <c r="F465" s="194"/>
      <c r="G465" s="192"/>
      <c r="H465" s="192"/>
      <c r="I465" s="195"/>
      <c r="J465" s="194"/>
      <c r="K465" s="196"/>
      <c r="L465" s="195"/>
    </row>
    <row r="466" spans="1:12" x14ac:dyDescent="0.25">
      <c r="A466" s="192"/>
      <c r="B466" s="193"/>
      <c r="C466" s="192"/>
      <c r="D466" s="194"/>
      <c r="E466" s="194"/>
      <c r="F466" s="194"/>
      <c r="G466" s="192"/>
      <c r="H466" s="192"/>
      <c r="I466" s="195"/>
      <c r="J466" s="194"/>
      <c r="K466" s="196"/>
      <c r="L466" s="195"/>
    </row>
    <row r="467" spans="1:12" x14ac:dyDescent="0.25">
      <c r="A467" s="192"/>
      <c r="B467" s="193"/>
      <c r="C467" s="192"/>
      <c r="D467" s="194"/>
      <c r="E467" s="194"/>
      <c r="F467" s="194"/>
      <c r="G467" s="192"/>
      <c r="H467" s="192"/>
      <c r="I467" s="195"/>
      <c r="J467" s="194"/>
      <c r="K467" s="196"/>
      <c r="L467" s="195"/>
    </row>
    <row r="468" spans="1:12" x14ac:dyDescent="0.25">
      <c r="A468" s="192"/>
      <c r="B468" s="193"/>
      <c r="C468" s="192"/>
      <c r="D468" s="194"/>
      <c r="E468" s="194"/>
      <c r="F468" s="194"/>
      <c r="G468" s="192"/>
      <c r="H468" s="192"/>
      <c r="I468" s="195"/>
      <c r="J468" s="194"/>
      <c r="K468" s="196"/>
      <c r="L468" s="195"/>
    </row>
    <row r="469" spans="1:12" x14ac:dyDescent="0.25">
      <c r="A469" s="192"/>
      <c r="B469" s="193"/>
      <c r="C469" s="192"/>
      <c r="D469" s="194"/>
      <c r="E469" s="194"/>
      <c r="F469" s="194"/>
      <c r="G469" s="192"/>
      <c r="H469" s="192"/>
      <c r="I469" s="195"/>
      <c r="J469" s="194"/>
      <c r="K469" s="196"/>
      <c r="L469" s="195"/>
    </row>
    <row r="470" spans="1:12" x14ac:dyDescent="0.25">
      <c r="H470" s="192"/>
      <c r="I470" s="195"/>
      <c r="J470" s="194"/>
      <c r="K470" s="196"/>
      <c r="L470" s="195"/>
    </row>
    <row r="471" spans="1:12" ht="10.5" customHeight="1" x14ac:dyDescent="0.25">
      <c r="H471" s="192"/>
      <c r="I471" s="195"/>
      <c r="J471" s="194"/>
      <c r="K471" s="196"/>
      <c r="L471" s="195"/>
    </row>
    <row r="472" spans="1:12" x14ac:dyDescent="0.25">
      <c r="H472" s="192"/>
      <c r="I472" s="195"/>
      <c r="J472" s="194"/>
      <c r="K472" s="196"/>
      <c r="L472" s="195"/>
    </row>
    <row r="473" spans="1:12" x14ac:dyDescent="0.25">
      <c r="H473" s="192"/>
      <c r="I473" s="195"/>
      <c r="J473" s="194"/>
      <c r="K473" s="196"/>
      <c r="L473" s="195"/>
    </row>
    <row r="474" spans="1:12" x14ac:dyDescent="0.25">
      <c r="H474" s="192"/>
      <c r="I474" s="195"/>
      <c r="J474" s="194"/>
      <c r="K474" s="196"/>
      <c r="L474" s="195"/>
    </row>
    <row r="475" spans="1:12" x14ac:dyDescent="0.25">
      <c r="H475" s="192"/>
      <c r="I475" s="195"/>
      <c r="J475" s="194"/>
      <c r="K475" s="196"/>
      <c r="L475" s="195"/>
    </row>
    <row r="476" spans="1:12" x14ac:dyDescent="0.25">
      <c r="H476" s="192"/>
      <c r="I476" s="195"/>
      <c r="J476" s="194"/>
      <c r="K476" s="196"/>
      <c r="L476" s="195"/>
    </row>
    <row r="477" spans="1:12" x14ac:dyDescent="0.25">
      <c r="H477" s="192"/>
      <c r="I477" s="195"/>
      <c r="J477" s="194"/>
      <c r="K477" s="196"/>
      <c r="L477" s="195"/>
    </row>
    <row r="478" spans="1:12" x14ac:dyDescent="0.25">
      <c r="H478" s="192"/>
      <c r="I478" s="195"/>
      <c r="J478" s="194"/>
      <c r="K478" s="196"/>
      <c r="L478" s="195"/>
    </row>
    <row r="479" spans="1:12" x14ac:dyDescent="0.25">
      <c r="H479" s="192"/>
      <c r="I479" s="195"/>
      <c r="J479" s="194"/>
      <c r="K479" s="196"/>
      <c r="L479" s="195"/>
    </row>
    <row r="480" spans="1:12" x14ac:dyDescent="0.25">
      <c r="H480" s="192"/>
      <c r="I480" s="195"/>
      <c r="J480" s="194"/>
      <c r="K480" s="196"/>
      <c r="L480" s="195"/>
    </row>
    <row r="481" spans="2:12" x14ac:dyDescent="0.25">
      <c r="H481" s="192"/>
      <c r="I481" s="195"/>
      <c r="J481" s="194"/>
      <c r="K481" s="196"/>
      <c r="L481" s="195"/>
    </row>
    <row r="482" spans="2:12" x14ac:dyDescent="0.25">
      <c r="H482" s="192"/>
      <c r="I482" s="195"/>
      <c r="J482" s="194"/>
      <c r="K482" s="196"/>
      <c r="L482" s="195"/>
    </row>
    <row r="486" spans="2:12" x14ac:dyDescent="0.25">
      <c r="B486" s="319"/>
    </row>
  </sheetData>
  <sheetProtection selectLockedCells="1" selectUnlockedCells="1"/>
  <mergeCells count="2">
    <mergeCell ref="B2:H2"/>
    <mergeCell ref="B3:G3"/>
  </mergeCell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Q325"/>
  <sheetViews>
    <sheetView workbookViewId="0">
      <selection activeCell="V19" sqref="V19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17" ht="10.5" customHeight="1" thickBot="1" x14ac:dyDescent="0.3"/>
    <row r="2" spans="2:17" ht="15.75" thickBot="1" x14ac:dyDescent="0.3">
      <c r="B2" s="383" t="s">
        <v>11</v>
      </c>
      <c r="C2" s="384"/>
      <c r="D2" s="384"/>
      <c r="E2" s="384"/>
      <c r="F2" s="384"/>
      <c r="G2" s="384"/>
      <c r="H2" s="384"/>
      <c r="I2" s="384"/>
      <c r="J2" s="387" t="s">
        <v>10</v>
      </c>
      <c r="K2" s="387"/>
      <c r="L2" s="387"/>
      <c r="M2" s="387"/>
      <c r="N2" s="387"/>
      <c r="O2" s="387"/>
      <c r="P2" s="387"/>
      <c r="Q2" s="388"/>
    </row>
    <row r="3" spans="2:17" ht="13.5" customHeight="1" thickBot="1" x14ac:dyDescent="0.3">
      <c r="B3" s="369"/>
      <c r="C3" s="370"/>
      <c r="D3" s="148" t="s">
        <v>19</v>
      </c>
      <c r="E3" s="148" t="s">
        <v>20</v>
      </c>
      <c r="F3" s="148" t="s">
        <v>21</v>
      </c>
      <c r="G3" s="148" t="s">
        <v>22</v>
      </c>
      <c r="H3" s="148" t="s">
        <v>23</v>
      </c>
      <c r="I3" s="148" t="s">
        <v>24</v>
      </c>
      <c r="J3" s="148" t="s">
        <v>25</v>
      </c>
      <c r="K3" s="148" t="s">
        <v>26</v>
      </c>
      <c r="L3" s="148" t="s">
        <v>27</v>
      </c>
      <c r="M3" s="148" t="s">
        <v>28</v>
      </c>
      <c r="N3" s="148" t="s">
        <v>29</v>
      </c>
      <c r="O3" s="148" t="s">
        <v>30</v>
      </c>
      <c r="P3" s="385" t="s">
        <v>40</v>
      </c>
      <c r="Q3" s="375"/>
    </row>
    <row r="4" spans="2:17" ht="13.5" customHeight="1" thickBot="1" x14ac:dyDescent="0.3">
      <c r="B4" s="371"/>
      <c r="C4" s="372"/>
      <c r="D4" s="148">
        <v>10</v>
      </c>
      <c r="E4" s="148">
        <v>11</v>
      </c>
      <c r="F4" s="148">
        <v>12</v>
      </c>
      <c r="G4" s="148">
        <v>1</v>
      </c>
      <c r="H4" s="148">
        <v>2</v>
      </c>
      <c r="I4" s="148">
        <v>3</v>
      </c>
      <c r="J4" s="148">
        <v>4</v>
      </c>
      <c r="K4" s="148">
        <v>5</v>
      </c>
      <c r="L4" s="148">
        <v>6</v>
      </c>
      <c r="M4" s="148">
        <v>7</v>
      </c>
      <c r="N4" s="148">
        <v>8</v>
      </c>
      <c r="O4" s="148">
        <v>9</v>
      </c>
      <c r="P4" s="386"/>
      <c r="Q4" s="376"/>
    </row>
    <row r="5" spans="2:17" ht="15.75" thickBot="1" x14ac:dyDescent="0.3">
      <c r="B5" s="154" t="str">
        <f>Master!AF7</f>
        <v>AFGHANISTAN</v>
      </c>
      <c r="C5" s="148" t="str">
        <f>Master!AG7</f>
        <v>AF</v>
      </c>
      <c r="D5" s="66">
        <v>0</v>
      </c>
      <c r="E5" s="258">
        <v>0</v>
      </c>
      <c r="F5" s="258">
        <v>0</v>
      </c>
      <c r="G5" s="258">
        <v>5</v>
      </c>
      <c r="H5" s="258">
        <v>0</v>
      </c>
      <c r="I5" s="258">
        <v>0</v>
      </c>
      <c r="J5" s="258">
        <v>0</v>
      </c>
      <c r="K5" s="258">
        <v>3</v>
      </c>
      <c r="L5" s="258">
        <v>5</v>
      </c>
      <c r="M5" s="258">
        <v>0</v>
      </c>
      <c r="N5" s="258">
        <v>9</v>
      </c>
      <c r="O5" s="258">
        <v>0</v>
      </c>
      <c r="P5" s="258">
        <f>SUM(D5:O5)</f>
        <v>22</v>
      </c>
      <c r="Q5" s="154" t="str">
        <f>Master!AF7</f>
        <v>AFGHANISTAN</v>
      </c>
    </row>
    <row r="6" spans="2:17" ht="15.75" thickBot="1" x14ac:dyDescent="0.3">
      <c r="B6" s="154" t="str">
        <f>Master!AF8</f>
        <v>ARMENIA</v>
      </c>
      <c r="C6" s="148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4" t="str">
        <f>Master!AF8</f>
        <v>ARMENIA</v>
      </c>
    </row>
    <row r="7" spans="2:17" ht="15.75" thickBot="1" x14ac:dyDescent="0.3">
      <c r="B7" s="154" t="s">
        <v>780</v>
      </c>
      <c r="C7" s="148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154" t="s">
        <v>780</v>
      </c>
    </row>
    <row r="8" spans="2:17" ht="15.75" thickBot="1" x14ac:dyDescent="0.3">
      <c r="B8" s="154" t="str">
        <f>Master!AF10</f>
        <v>BELARUS</v>
      </c>
      <c r="C8" s="148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1</v>
      </c>
      <c r="I8" s="258">
        <v>0</v>
      </c>
      <c r="J8" s="258">
        <v>0</v>
      </c>
      <c r="K8" s="258">
        <v>9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10</v>
      </c>
      <c r="Q8" s="154" t="str">
        <f>Master!AF10</f>
        <v>BELARUS</v>
      </c>
    </row>
    <row r="9" spans="2:17" ht="15.75" thickBot="1" x14ac:dyDescent="0.3">
      <c r="B9" s="154" t="str">
        <f>Master!AF11</f>
        <v>BURMA</v>
      </c>
      <c r="C9" s="148" t="str">
        <f>Master!AG11</f>
        <v>BM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3</v>
      </c>
      <c r="L9" s="258">
        <v>0</v>
      </c>
      <c r="M9" s="258">
        <v>0</v>
      </c>
      <c r="N9" s="258">
        <v>0</v>
      </c>
      <c r="O9" s="258">
        <v>0</v>
      </c>
      <c r="P9" s="258">
        <f t="shared" si="0"/>
        <v>3</v>
      </c>
      <c r="Q9" s="154" t="str">
        <f>Master!AF11</f>
        <v>BURMA</v>
      </c>
    </row>
    <row r="10" spans="2:17" ht="15.75" thickBot="1" x14ac:dyDescent="0.3">
      <c r="B10" s="154" t="str">
        <f>Master!AF12</f>
        <v>BHUTAN</v>
      </c>
      <c r="C10" s="148" t="str">
        <f>Master!AG12</f>
        <v>BT</v>
      </c>
      <c r="D10" s="258">
        <v>0</v>
      </c>
      <c r="E10" s="258">
        <v>6</v>
      </c>
      <c r="F10" s="258">
        <v>2</v>
      </c>
      <c r="G10" s="258">
        <v>5</v>
      </c>
      <c r="H10" s="258">
        <v>0</v>
      </c>
      <c r="I10" s="258">
        <v>0</v>
      </c>
      <c r="J10" s="258">
        <v>2</v>
      </c>
      <c r="K10" s="258">
        <v>0</v>
      </c>
      <c r="L10" s="258">
        <v>0</v>
      </c>
      <c r="M10" s="258">
        <v>0</v>
      </c>
      <c r="N10" s="258">
        <v>0</v>
      </c>
      <c r="O10" s="258">
        <v>3</v>
      </c>
      <c r="P10" s="258">
        <f t="shared" si="0"/>
        <v>18</v>
      </c>
      <c r="Q10" s="154" t="str">
        <f>Master!AF12</f>
        <v>BHUTAN</v>
      </c>
    </row>
    <row r="11" spans="2:17" ht="15.75" thickBot="1" x14ac:dyDescent="0.3">
      <c r="B11" s="154" t="s">
        <v>779</v>
      </c>
      <c r="C11" s="148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4" t="s">
        <v>779</v>
      </c>
    </row>
    <row r="12" spans="2:17" ht="15.75" thickBot="1" x14ac:dyDescent="0.3">
      <c r="B12" s="154" t="str">
        <f>Master!AF14</f>
        <v>BURUNDI</v>
      </c>
      <c r="C12" s="148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4" t="str">
        <f>Master!AF14</f>
        <v>BURUNDI</v>
      </c>
    </row>
    <row r="13" spans="2:17" ht="15.75" thickBot="1" x14ac:dyDescent="0.3">
      <c r="B13" s="154" t="str">
        <f>Master!AF15</f>
        <v>CAMEROUN</v>
      </c>
      <c r="C13" s="148" t="str">
        <f>Master!AG15</f>
        <v>CM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258">
        <v>0</v>
      </c>
      <c r="L13" s="66">
        <v>0</v>
      </c>
      <c r="M13" s="66">
        <v>0</v>
      </c>
      <c r="N13" s="258">
        <v>0</v>
      </c>
      <c r="O13" s="258">
        <v>0</v>
      </c>
      <c r="P13" s="258">
        <f t="shared" si="0"/>
        <v>0</v>
      </c>
      <c r="Q13" s="154" t="str">
        <f>Master!AF15</f>
        <v>CAMEROUN</v>
      </c>
    </row>
    <row r="14" spans="2:17" ht="15.75" thickBot="1" x14ac:dyDescent="0.3">
      <c r="B14" s="154" t="str">
        <f>Master!AF16</f>
        <v>CENTRAL AFR REP</v>
      </c>
      <c r="C14" s="148" t="str">
        <f>Master!AG16</f>
        <v>CT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258">
        <v>0</v>
      </c>
      <c r="L14" s="66">
        <v>0</v>
      </c>
      <c r="M14" s="66">
        <v>0</v>
      </c>
      <c r="N14" s="258">
        <v>0</v>
      </c>
      <c r="O14" s="258">
        <v>0</v>
      </c>
      <c r="P14" s="258">
        <f t="shared" si="0"/>
        <v>0</v>
      </c>
      <c r="Q14" s="154" t="str">
        <f>Master!AF16</f>
        <v>CENTRAL AFR REP</v>
      </c>
    </row>
    <row r="15" spans="2:17" ht="15.75" thickBot="1" x14ac:dyDescent="0.3">
      <c r="B15" s="154" t="str">
        <f>Master!AF17</f>
        <v>CHINA</v>
      </c>
      <c r="C15" s="148" t="str">
        <f>Master!AG17</f>
        <v>CH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258">
        <v>0</v>
      </c>
      <c r="L15" s="66">
        <v>0</v>
      </c>
      <c r="M15" s="66">
        <v>0</v>
      </c>
      <c r="N15" s="258">
        <v>0</v>
      </c>
      <c r="O15" s="258">
        <v>0</v>
      </c>
      <c r="P15" s="258">
        <f t="shared" si="0"/>
        <v>0</v>
      </c>
      <c r="Q15" s="154" t="str">
        <f>Master!AF17</f>
        <v>CHINA</v>
      </c>
    </row>
    <row r="16" spans="2:17" ht="15.75" thickBot="1" x14ac:dyDescent="0.3">
      <c r="B16" s="154" t="str">
        <f>Master!AF18</f>
        <v>DEM REP OF CONGO</v>
      </c>
      <c r="C16" s="148" t="str">
        <f>Master!AG18</f>
        <v>CG</v>
      </c>
      <c r="D16" s="66">
        <v>0</v>
      </c>
      <c r="E16" s="66">
        <v>3</v>
      </c>
      <c r="F16" s="66">
        <v>0</v>
      </c>
      <c r="G16" s="66">
        <v>4</v>
      </c>
      <c r="H16" s="66">
        <v>0</v>
      </c>
      <c r="I16" s="66">
        <v>0</v>
      </c>
      <c r="J16" s="66">
        <v>0</v>
      </c>
      <c r="K16" s="258">
        <v>0</v>
      </c>
      <c r="L16" s="66">
        <v>0</v>
      </c>
      <c r="M16" s="66">
        <v>0</v>
      </c>
      <c r="N16" s="258">
        <v>0</v>
      </c>
      <c r="O16" s="258">
        <v>0</v>
      </c>
      <c r="P16" s="258">
        <f t="shared" si="0"/>
        <v>7</v>
      </c>
      <c r="Q16" s="154" t="str">
        <f>Master!AF18</f>
        <v>DEM REP OF CONGO</v>
      </c>
    </row>
    <row r="17" spans="2:17" ht="15.75" thickBot="1" x14ac:dyDescent="0.3">
      <c r="B17" s="154" t="str">
        <f>Master!AF19</f>
        <v>COLUMBIA</v>
      </c>
      <c r="C17" s="148" t="str">
        <f>Master!AG19</f>
        <v>CO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258">
        <v>0</v>
      </c>
      <c r="L17" s="66">
        <v>0</v>
      </c>
      <c r="M17" s="66">
        <v>0</v>
      </c>
      <c r="N17" s="258">
        <v>0</v>
      </c>
      <c r="O17" s="258">
        <v>0</v>
      </c>
      <c r="P17" s="258">
        <f t="shared" si="0"/>
        <v>0</v>
      </c>
      <c r="Q17" s="154" t="str">
        <f>Master!AF19</f>
        <v>COLUMBIA</v>
      </c>
    </row>
    <row r="18" spans="2:17" ht="15.75" thickBot="1" x14ac:dyDescent="0.3">
      <c r="B18" s="154" t="str">
        <f>Master!AF20</f>
        <v>CONGO</v>
      </c>
      <c r="C18" s="148" t="str">
        <f>Master!AG20</f>
        <v>CF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258">
        <v>0</v>
      </c>
      <c r="L18" s="66">
        <v>0</v>
      </c>
      <c r="M18" s="66">
        <v>0</v>
      </c>
      <c r="N18" s="258">
        <v>0</v>
      </c>
      <c r="O18" s="258">
        <v>0</v>
      </c>
      <c r="P18" s="258">
        <f t="shared" si="0"/>
        <v>0</v>
      </c>
      <c r="Q18" s="154" t="str">
        <f>Master!AF20</f>
        <v>CONGO</v>
      </c>
    </row>
    <row r="19" spans="2:17" ht="15.75" thickBot="1" x14ac:dyDescent="0.3">
      <c r="B19" s="154" t="str">
        <f>Master!AF21</f>
        <v>CUBA</v>
      </c>
      <c r="C19" s="148" t="str">
        <f>Master!AG21</f>
        <v>CU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258">
        <v>0</v>
      </c>
      <c r="L19" s="66">
        <v>0</v>
      </c>
      <c r="M19" s="66">
        <v>0</v>
      </c>
      <c r="N19" s="258">
        <v>0</v>
      </c>
      <c r="O19" s="258">
        <v>0</v>
      </c>
      <c r="P19" s="258">
        <f t="shared" si="0"/>
        <v>0</v>
      </c>
      <c r="Q19" s="154" t="str">
        <f>Master!AF21</f>
        <v>CUBA</v>
      </c>
    </row>
    <row r="20" spans="2:17" ht="15.75" thickBot="1" x14ac:dyDescent="0.3">
      <c r="B20" s="154" t="str">
        <f>Master!AF22</f>
        <v>CUBAN ENTRANT</v>
      </c>
      <c r="C20" s="148" t="str">
        <f>Master!AG22</f>
        <v>CUE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258">
        <v>0</v>
      </c>
      <c r="L20" s="66">
        <v>0</v>
      </c>
      <c r="M20" s="66">
        <v>0</v>
      </c>
      <c r="N20" s="258">
        <v>0</v>
      </c>
      <c r="O20" s="258">
        <v>0</v>
      </c>
      <c r="P20" s="258">
        <f t="shared" si="0"/>
        <v>0</v>
      </c>
      <c r="Q20" s="154" t="str">
        <f>Master!AF22</f>
        <v>CUBAN ENTRANT</v>
      </c>
    </row>
    <row r="21" spans="2:17" ht="15.75" thickBot="1" x14ac:dyDescent="0.3">
      <c r="B21" s="154" t="str">
        <f>Master!AF23</f>
        <v>ECUADOR</v>
      </c>
      <c r="C21" s="148" t="str">
        <f>Master!AG23</f>
        <v>EC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258">
        <v>0</v>
      </c>
      <c r="L21" s="66">
        <v>0</v>
      </c>
      <c r="M21" s="66">
        <v>0</v>
      </c>
      <c r="N21" s="258">
        <v>0</v>
      </c>
      <c r="O21" s="258">
        <v>0</v>
      </c>
      <c r="P21" s="258">
        <f t="shared" si="0"/>
        <v>0</v>
      </c>
      <c r="Q21" s="154" t="str">
        <f>Master!AF23</f>
        <v>ECUADOR</v>
      </c>
    </row>
    <row r="22" spans="2:17" ht="15.75" thickBot="1" x14ac:dyDescent="0.3">
      <c r="B22" s="154" t="str">
        <f>Master!AF24</f>
        <v>EGYPT</v>
      </c>
      <c r="C22" s="148" t="str">
        <f>Master!AG24</f>
        <v>EG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258">
        <v>0</v>
      </c>
      <c r="L22" s="66">
        <v>0</v>
      </c>
      <c r="M22" s="66">
        <v>0</v>
      </c>
      <c r="N22" s="258">
        <v>0</v>
      </c>
      <c r="O22" s="258">
        <v>0</v>
      </c>
      <c r="P22" s="258">
        <f t="shared" si="0"/>
        <v>0</v>
      </c>
      <c r="Q22" s="154" t="str">
        <f>Master!AF24</f>
        <v>EGYPT</v>
      </c>
    </row>
    <row r="23" spans="2:17" ht="15.75" thickBot="1" x14ac:dyDescent="0.3">
      <c r="B23" s="154" t="str">
        <f>Master!AF25</f>
        <v>ERITREA</v>
      </c>
      <c r="C23" s="148" t="str">
        <f>Master!AG25</f>
        <v>ER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3</v>
      </c>
      <c r="K23" s="258">
        <v>0</v>
      </c>
      <c r="L23" s="66">
        <v>7</v>
      </c>
      <c r="M23" s="66">
        <v>0</v>
      </c>
      <c r="N23" s="258">
        <v>0</v>
      </c>
      <c r="O23" s="258">
        <v>0</v>
      </c>
      <c r="P23" s="258">
        <f t="shared" si="0"/>
        <v>10</v>
      </c>
      <c r="Q23" s="154" t="str">
        <f>Master!AF25</f>
        <v>ERITREA</v>
      </c>
    </row>
    <row r="24" spans="2:17" ht="15.75" thickBot="1" x14ac:dyDescent="0.3">
      <c r="B24" s="154" t="str">
        <f>Master!AF26</f>
        <v>ETHIOPIA</v>
      </c>
      <c r="C24" s="148" t="str">
        <f>Master!AG26</f>
        <v>ET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258">
        <v>0</v>
      </c>
      <c r="L24" s="66">
        <v>0</v>
      </c>
      <c r="M24" s="66">
        <v>0</v>
      </c>
      <c r="N24" s="258">
        <v>0</v>
      </c>
      <c r="O24" s="258">
        <v>0</v>
      </c>
      <c r="P24" s="258">
        <f t="shared" si="0"/>
        <v>0</v>
      </c>
      <c r="Q24" s="154" t="str">
        <f>Master!AF26</f>
        <v>ETHIOPIA</v>
      </c>
    </row>
    <row r="25" spans="2:17" ht="15.75" thickBot="1" x14ac:dyDescent="0.3">
      <c r="B25" s="154" t="str">
        <f>Master!AF27</f>
        <v>FRANCE</v>
      </c>
      <c r="C25" s="148" t="str">
        <f>Master!AG27</f>
        <v>FR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258">
        <v>0</v>
      </c>
      <c r="L25" s="66">
        <v>0</v>
      </c>
      <c r="M25" s="66">
        <v>0</v>
      </c>
      <c r="N25" s="258">
        <v>0</v>
      </c>
      <c r="O25" s="258">
        <v>0</v>
      </c>
      <c r="P25" s="258">
        <f t="shared" si="0"/>
        <v>0</v>
      </c>
      <c r="Q25" s="154" t="str">
        <f>Master!AF27</f>
        <v>FRANCE</v>
      </c>
    </row>
    <row r="26" spans="2:17" ht="15.75" thickBot="1" x14ac:dyDescent="0.3">
      <c r="B26" s="154" t="str">
        <f>Master!AF28</f>
        <v>GUINEA</v>
      </c>
      <c r="C26" s="148" t="str">
        <f>Master!AG28</f>
        <v>GV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258">
        <v>0</v>
      </c>
      <c r="L26" s="66">
        <v>0</v>
      </c>
      <c r="M26" s="66">
        <v>0</v>
      </c>
      <c r="N26" s="258">
        <v>0</v>
      </c>
      <c r="O26" s="258">
        <v>0</v>
      </c>
      <c r="P26" s="258">
        <f t="shared" si="0"/>
        <v>0</v>
      </c>
      <c r="Q26" s="154" t="str">
        <f>Master!AF28</f>
        <v>GUINEA</v>
      </c>
    </row>
    <row r="27" spans="2:17" ht="15.75" thickBot="1" x14ac:dyDescent="0.3">
      <c r="B27" s="154" t="str">
        <f>Master!AF29</f>
        <v>HAITI</v>
      </c>
      <c r="C27" s="148" t="str">
        <f>Master!AG29</f>
        <v>HA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258">
        <v>0</v>
      </c>
      <c r="L27" s="66">
        <v>0</v>
      </c>
      <c r="M27" s="66">
        <v>0</v>
      </c>
      <c r="N27" s="258">
        <v>0</v>
      </c>
      <c r="O27" s="258">
        <v>0</v>
      </c>
      <c r="P27" s="258">
        <f t="shared" si="0"/>
        <v>0</v>
      </c>
      <c r="Q27" s="154" t="str">
        <f>Master!AF29</f>
        <v>HAITI</v>
      </c>
    </row>
    <row r="28" spans="2:17" ht="15.75" thickBot="1" x14ac:dyDescent="0.3">
      <c r="B28" s="154" t="str">
        <f>Master!AF30</f>
        <v>INDIA</v>
      </c>
      <c r="C28" s="148" t="str">
        <f>Master!AG30</f>
        <v>IN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258">
        <v>0</v>
      </c>
      <c r="L28" s="66">
        <v>0</v>
      </c>
      <c r="M28" s="66">
        <v>0</v>
      </c>
      <c r="N28" s="258">
        <v>0</v>
      </c>
      <c r="O28" s="258">
        <v>0</v>
      </c>
      <c r="P28" s="258">
        <f t="shared" si="0"/>
        <v>0</v>
      </c>
      <c r="Q28" s="154" t="str">
        <f>Master!AF30</f>
        <v>INDIA</v>
      </c>
    </row>
    <row r="29" spans="2:17" ht="15.75" thickBot="1" x14ac:dyDescent="0.3">
      <c r="B29" s="154" t="str">
        <f>Master!AF31</f>
        <v>INDONESIA</v>
      </c>
      <c r="C29" s="148" t="str">
        <f>Master!AG31</f>
        <v>ID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258">
        <v>0</v>
      </c>
      <c r="L29" s="66">
        <v>0</v>
      </c>
      <c r="M29" s="66">
        <v>0</v>
      </c>
      <c r="N29" s="258">
        <v>0</v>
      </c>
      <c r="O29" s="258">
        <v>0</v>
      </c>
      <c r="P29" s="258">
        <f t="shared" si="0"/>
        <v>0</v>
      </c>
      <c r="Q29" s="154" t="str">
        <f>Master!AF31</f>
        <v>INDONESIA</v>
      </c>
    </row>
    <row r="30" spans="2:17" ht="15.75" thickBot="1" x14ac:dyDescent="0.3">
      <c r="B30" s="154" t="str">
        <f>Master!AF32</f>
        <v>IRAN</v>
      </c>
      <c r="C30" s="148" t="str">
        <f>Master!AG32</f>
        <v>IR</v>
      </c>
      <c r="D30" s="66">
        <v>0</v>
      </c>
      <c r="E30" s="66">
        <v>0</v>
      </c>
      <c r="F30" s="66">
        <v>3</v>
      </c>
      <c r="G30" s="66">
        <v>0</v>
      </c>
      <c r="H30" s="66">
        <v>0</v>
      </c>
      <c r="I30" s="66">
        <v>0</v>
      </c>
      <c r="J30" s="66">
        <v>0</v>
      </c>
      <c r="K30" s="258">
        <v>0</v>
      </c>
      <c r="L30" s="66">
        <v>0</v>
      </c>
      <c r="M30" s="66">
        <v>0</v>
      </c>
      <c r="N30" s="258">
        <v>0</v>
      </c>
      <c r="O30" s="258">
        <v>0</v>
      </c>
      <c r="P30" s="258">
        <f t="shared" si="0"/>
        <v>3</v>
      </c>
      <c r="Q30" s="154" t="str">
        <f>Master!AF32</f>
        <v>IRAN</v>
      </c>
    </row>
    <row r="31" spans="2:17" ht="15.75" thickBot="1" x14ac:dyDescent="0.3">
      <c r="B31" s="154" t="str">
        <f>Master!AF33</f>
        <v>IRAQ</v>
      </c>
      <c r="C31" s="148" t="str">
        <f>Master!AG33</f>
        <v>IZ</v>
      </c>
      <c r="D31" s="66">
        <v>5</v>
      </c>
      <c r="E31" s="66">
        <v>0</v>
      </c>
      <c r="F31" s="66">
        <v>5</v>
      </c>
      <c r="G31" s="66">
        <v>0</v>
      </c>
      <c r="H31" s="66">
        <v>0</v>
      </c>
      <c r="I31" s="66">
        <v>9</v>
      </c>
      <c r="J31" s="66">
        <v>4</v>
      </c>
      <c r="K31" s="258">
        <v>0</v>
      </c>
      <c r="L31" s="66">
        <v>0</v>
      </c>
      <c r="M31" s="66">
        <v>0</v>
      </c>
      <c r="N31" s="258">
        <v>0</v>
      </c>
      <c r="O31" s="258">
        <v>0</v>
      </c>
      <c r="P31" s="258">
        <f t="shared" si="0"/>
        <v>23</v>
      </c>
      <c r="Q31" s="154" t="str">
        <f>Master!AF33</f>
        <v>IRAQ</v>
      </c>
    </row>
    <row r="32" spans="2:17" ht="15.75" thickBot="1" x14ac:dyDescent="0.3">
      <c r="B32" s="154" t="str">
        <f>Master!AF34</f>
        <v>IVORY COAST</v>
      </c>
      <c r="C32" s="148" t="str">
        <f>Master!AG34</f>
        <v>IV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258">
        <v>0</v>
      </c>
      <c r="L32" s="66">
        <v>0</v>
      </c>
      <c r="M32" s="66">
        <v>0</v>
      </c>
      <c r="N32" s="258">
        <v>0</v>
      </c>
      <c r="O32" s="258">
        <v>0</v>
      </c>
      <c r="P32" s="258">
        <f t="shared" si="0"/>
        <v>0</v>
      </c>
      <c r="Q32" s="154" t="str">
        <f>Master!AF34</f>
        <v>IVORY COAST</v>
      </c>
    </row>
    <row r="33" spans="2:17" ht="15.75" thickBot="1" x14ac:dyDescent="0.3">
      <c r="B33" s="154" t="str">
        <f>Master!AF35</f>
        <v>JORDAN</v>
      </c>
      <c r="C33" s="148" t="str">
        <f>Master!AG35</f>
        <v>JO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258">
        <v>0</v>
      </c>
      <c r="L33" s="66">
        <v>0</v>
      </c>
      <c r="M33" s="66">
        <v>0</v>
      </c>
      <c r="N33" s="258">
        <v>0</v>
      </c>
      <c r="O33" s="258">
        <v>0</v>
      </c>
      <c r="P33" s="258">
        <f t="shared" si="0"/>
        <v>0</v>
      </c>
      <c r="Q33" s="154" t="str">
        <f>Master!AF35</f>
        <v>JORDAN</v>
      </c>
    </row>
    <row r="34" spans="2:17" ht="15.75" thickBot="1" x14ac:dyDescent="0.3">
      <c r="B34" s="154" t="str">
        <f>Master!AF36</f>
        <v>KAZAKHSTAN</v>
      </c>
      <c r="C34" s="148" t="str">
        <f>Master!AG36</f>
        <v>KZ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258">
        <v>0</v>
      </c>
      <c r="L34" s="66">
        <v>0</v>
      </c>
      <c r="M34" s="66">
        <v>0</v>
      </c>
      <c r="N34" s="258">
        <v>0</v>
      </c>
      <c r="O34" s="258">
        <v>0</v>
      </c>
      <c r="P34" s="258">
        <f t="shared" si="0"/>
        <v>0</v>
      </c>
      <c r="Q34" s="154" t="str">
        <f>Master!AF36</f>
        <v>KAZAKHSTAN</v>
      </c>
    </row>
    <row r="35" spans="2:17" ht="15.75" thickBot="1" x14ac:dyDescent="0.3">
      <c r="B35" s="154" t="str">
        <f>Master!AF37</f>
        <v>KENYA</v>
      </c>
      <c r="C35" s="148" t="str">
        <f>Master!AG37</f>
        <v>KE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258">
        <v>0</v>
      </c>
      <c r="L35" s="66">
        <v>0</v>
      </c>
      <c r="M35" s="66">
        <v>0</v>
      </c>
      <c r="N35" s="258">
        <v>0</v>
      </c>
      <c r="O35" s="258">
        <v>0</v>
      </c>
      <c r="P35" s="258">
        <f t="shared" si="0"/>
        <v>0</v>
      </c>
      <c r="Q35" s="154" t="str">
        <f>Master!AF37</f>
        <v>KENYA</v>
      </c>
    </row>
    <row r="36" spans="2:17" ht="15.75" thickBot="1" x14ac:dyDescent="0.3">
      <c r="B36" s="154" t="str">
        <f>Master!AF38</f>
        <v>LEBANON</v>
      </c>
      <c r="C36" s="148" t="str">
        <f>Master!AG38</f>
        <v>LE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258">
        <v>0</v>
      </c>
      <c r="L36" s="66">
        <v>0</v>
      </c>
      <c r="M36" s="66">
        <v>0</v>
      </c>
      <c r="N36" s="258">
        <v>0</v>
      </c>
      <c r="O36" s="258">
        <v>0</v>
      </c>
      <c r="P36" s="258">
        <f t="shared" si="0"/>
        <v>0</v>
      </c>
      <c r="Q36" s="154" t="str">
        <f>Master!AF38</f>
        <v>LEBANON</v>
      </c>
    </row>
    <row r="37" spans="2:17" ht="15.75" thickBot="1" x14ac:dyDescent="0.3">
      <c r="B37" s="154" t="str">
        <f>Master!AF39</f>
        <v>LIBERIA</v>
      </c>
      <c r="C37" s="148" t="str">
        <f>Master!AG39</f>
        <v>LI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258">
        <v>0</v>
      </c>
      <c r="L37" s="66">
        <v>0</v>
      </c>
      <c r="M37" s="66">
        <v>0</v>
      </c>
      <c r="N37" s="258">
        <v>0</v>
      </c>
      <c r="O37" s="258">
        <v>0</v>
      </c>
      <c r="P37" s="258">
        <f t="shared" si="0"/>
        <v>0</v>
      </c>
      <c r="Q37" s="154" t="str">
        <f>Master!AF39</f>
        <v>LIBERIA</v>
      </c>
    </row>
    <row r="38" spans="2:17" ht="15.75" thickBot="1" x14ac:dyDescent="0.3">
      <c r="B38" s="154" t="str">
        <f>Master!AF40</f>
        <v>LIBYA</v>
      </c>
      <c r="C38" s="148" t="str">
        <f>Master!AG40</f>
        <v>LY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258">
        <v>0</v>
      </c>
      <c r="L38" s="66">
        <v>0</v>
      </c>
      <c r="M38" s="66">
        <v>0</v>
      </c>
      <c r="N38" s="258">
        <v>0</v>
      </c>
      <c r="O38" s="258">
        <v>0</v>
      </c>
      <c r="P38" s="258">
        <f t="shared" si="0"/>
        <v>0</v>
      </c>
      <c r="Q38" s="154" t="str">
        <f>Master!AF40</f>
        <v>LIBYA</v>
      </c>
    </row>
    <row r="39" spans="2:17" ht="15.75" thickBot="1" x14ac:dyDescent="0.3">
      <c r="B39" s="154" t="str">
        <f>Master!AF41</f>
        <v>MOLDOVA</v>
      </c>
      <c r="C39" s="148" t="str">
        <f>Master!AG41</f>
        <v>MD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258">
        <v>0</v>
      </c>
      <c r="L39" s="66">
        <v>0</v>
      </c>
      <c r="M39" s="66">
        <v>0</v>
      </c>
      <c r="N39" s="258">
        <v>0</v>
      </c>
      <c r="O39" s="258">
        <v>0</v>
      </c>
      <c r="P39" s="258">
        <f t="shared" si="0"/>
        <v>0</v>
      </c>
      <c r="Q39" s="154" t="str">
        <f>Master!AF41</f>
        <v>MOLDOVA</v>
      </c>
    </row>
    <row r="40" spans="2:17" ht="15.75" thickBot="1" x14ac:dyDescent="0.3">
      <c r="B40" s="154" t="str">
        <f>Master!AF42</f>
        <v>MALI</v>
      </c>
      <c r="C40" s="148" t="str">
        <f>Master!AG42</f>
        <v>ML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258">
        <v>0</v>
      </c>
      <c r="L40" s="66">
        <v>0</v>
      </c>
      <c r="M40" s="66">
        <v>0</v>
      </c>
      <c r="N40" s="258">
        <v>0</v>
      </c>
      <c r="O40" s="258">
        <v>0</v>
      </c>
      <c r="P40" s="258">
        <f t="shared" si="0"/>
        <v>0</v>
      </c>
      <c r="Q40" s="154" t="str">
        <f>Master!AF42</f>
        <v>MALI</v>
      </c>
    </row>
    <row r="41" spans="2:17" ht="15.75" thickBot="1" x14ac:dyDescent="0.3">
      <c r="B41" s="154" t="str">
        <f>Master!AF43</f>
        <v>MALAYSIA</v>
      </c>
      <c r="C41" s="148" t="str">
        <f>Master!AG43</f>
        <v>MY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258">
        <v>0</v>
      </c>
      <c r="L41" s="66">
        <v>0</v>
      </c>
      <c r="M41" s="66">
        <v>0</v>
      </c>
      <c r="N41" s="258">
        <v>0</v>
      </c>
      <c r="O41" s="258">
        <v>0</v>
      </c>
      <c r="P41" s="258">
        <f t="shared" si="0"/>
        <v>0</v>
      </c>
      <c r="Q41" s="154" t="str">
        <f>Master!AF43</f>
        <v>MALAYSIA</v>
      </c>
    </row>
    <row r="42" spans="2:17" ht="15.75" thickBot="1" x14ac:dyDescent="0.3">
      <c r="B42" s="154" t="str">
        <f>Master!AF44</f>
        <v>NAMIBIA</v>
      </c>
      <c r="C42" s="148" t="str">
        <f>Master!AG44</f>
        <v>WA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258">
        <v>0</v>
      </c>
      <c r="L42" s="66">
        <v>0</v>
      </c>
      <c r="M42" s="66">
        <v>0</v>
      </c>
      <c r="N42" s="258">
        <v>0</v>
      </c>
      <c r="O42" s="258">
        <v>0</v>
      </c>
      <c r="P42" s="258">
        <f t="shared" si="0"/>
        <v>0</v>
      </c>
      <c r="Q42" s="154" t="str">
        <f>Master!AF44</f>
        <v>NAMIBIA</v>
      </c>
    </row>
    <row r="43" spans="2:17" ht="15.75" thickBot="1" x14ac:dyDescent="0.3">
      <c r="B43" s="154" t="str">
        <f>Master!AF45</f>
        <v>NEPAL</v>
      </c>
      <c r="C43" s="148" t="str">
        <f>Master!AG45</f>
        <v>NP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258">
        <v>0</v>
      </c>
      <c r="L43" s="66">
        <v>0</v>
      </c>
      <c r="M43" s="66">
        <v>0</v>
      </c>
      <c r="N43" s="258">
        <v>0</v>
      </c>
      <c r="O43" s="258">
        <v>1</v>
      </c>
      <c r="P43" s="258">
        <f t="shared" si="0"/>
        <v>1</v>
      </c>
      <c r="Q43" s="154" t="str">
        <f>Master!AF45</f>
        <v>NEPAL</v>
      </c>
    </row>
    <row r="44" spans="2:17" ht="15.75" thickBot="1" x14ac:dyDescent="0.3">
      <c r="B44" s="154" t="str">
        <f>Master!AF46</f>
        <v>NIGERIA</v>
      </c>
      <c r="C44" s="148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4" t="str">
        <f>Master!AF46</f>
        <v>NIGERIA</v>
      </c>
    </row>
    <row r="45" spans="2:17" ht="15.75" thickBot="1" x14ac:dyDescent="0.3">
      <c r="B45" s="154" t="str">
        <f>Master!AF47</f>
        <v>PAKISTAN</v>
      </c>
      <c r="C45" s="148" t="str">
        <f>Master!AG47</f>
        <v>PK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258">
        <v>0</v>
      </c>
      <c r="L45" s="66">
        <v>0</v>
      </c>
      <c r="M45" s="66">
        <v>0</v>
      </c>
      <c r="N45" s="258">
        <v>0</v>
      </c>
      <c r="O45" s="258">
        <v>0</v>
      </c>
      <c r="P45" s="258">
        <f t="shared" si="0"/>
        <v>0</v>
      </c>
      <c r="Q45" s="154" t="str">
        <f>Master!AF47</f>
        <v>PAKISTAN</v>
      </c>
    </row>
    <row r="46" spans="2:17" ht="15.75" thickBot="1" x14ac:dyDescent="0.3">
      <c r="B46" s="154" t="str">
        <f>Master!AF48</f>
        <v>PITCAIRN ISLANDS</v>
      </c>
      <c r="C46" s="148" t="str">
        <f>Master!AG48</f>
        <v>PN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258">
        <v>0</v>
      </c>
      <c r="L46" s="66">
        <v>0</v>
      </c>
      <c r="M46" s="66">
        <v>0</v>
      </c>
      <c r="N46" s="258">
        <v>0</v>
      </c>
      <c r="O46" s="258">
        <v>0</v>
      </c>
      <c r="P46" s="258">
        <f t="shared" si="0"/>
        <v>0</v>
      </c>
      <c r="Q46" s="154" t="str">
        <f>Master!AF48</f>
        <v>PITCAIRN ISLANDS</v>
      </c>
    </row>
    <row r="47" spans="2:17" ht="15.75" thickBot="1" x14ac:dyDescent="0.3">
      <c r="B47" s="154" t="str">
        <f>Master!AF49</f>
        <v>RWANDA</v>
      </c>
      <c r="C47" s="148" t="str">
        <f>Master!AG49</f>
        <v>RW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258">
        <v>0</v>
      </c>
      <c r="L47" s="66">
        <v>0</v>
      </c>
      <c r="M47" s="66">
        <v>0</v>
      </c>
      <c r="N47" s="258">
        <v>0</v>
      </c>
      <c r="O47" s="258">
        <v>0</v>
      </c>
      <c r="P47" s="258">
        <f t="shared" si="0"/>
        <v>0</v>
      </c>
      <c r="Q47" s="154" t="str">
        <f>Master!AF49</f>
        <v>RWANDA</v>
      </c>
    </row>
    <row r="48" spans="2:17" ht="15.75" thickBot="1" x14ac:dyDescent="0.3">
      <c r="B48" s="154" t="str">
        <f>Master!AF50</f>
        <v>RUSSIA</v>
      </c>
      <c r="C48" s="148" t="str">
        <f>Master!AG50</f>
        <v>RS</v>
      </c>
      <c r="D48" s="66">
        <v>0</v>
      </c>
      <c r="E48" s="66">
        <v>0</v>
      </c>
      <c r="F48" s="66">
        <v>0</v>
      </c>
      <c r="G48" s="66">
        <v>0</v>
      </c>
      <c r="H48" s="66">
        <v>2</v>
      </c>
      <c r="I48" s="66">
        <v>0</v>
      </c>
      <c r="J48" s="66">
        <v>0</v>
      </c>
      <c r="K48" s="258">
        <v>0</v>
      </c>
      <c r="L48" s="66">
        <v>0</v>
      </c>
      <c r="M48" s="66">
        <v>0</v>
      </c>
      <c r="N48" s="258">
        <v>0</v>
      </c>
      <c r="O48" s="258">
        <v>0</v>
      </c>
      <c r="P48" s="258">
        <f t="shared" si="0"/>
        <v>2</v>
      </c>
      <c r="Q48" s="154" t="str">
        <f>Master!AF50</f>
        <v>RUSSIA</v>
      </c>
    </row>
    <row r="49" spans="2:17" ht="15.75" thickBot="1" x14ac:dyDescent="0.3">
      <c r="B49" s="154" t="str">
        <f>Master!AF51</f>
        <v>SIERRA LEON</v>
      </c>
      <c r="C49" s="148" t="str">
        <f>Master!AG51</f>
        <v>SL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258">
        <v>0</v>
      </c>
      <c r="L49" s="66">
        <v>0</v>
      </c>
      <c r="M49" s="66">
        <v>0</v>
      </c>
      <c r="N49" s="258">
        <v>0</v>
      </c>
      <c r="O49" s="258">
        <v>0</v>
      </c>
      <c r="P49" s="258">
        <f t="shared" si="0"/>
        <v>0</v>
      </c>
      <c r="Q49" s="154" t="str">
        <f>Master!AF51</f>
        <v>SIERRA LEON</v>
      </c>
    </row>
    <row r="50" spans="2:17" ht="15.75" thickBot="1" x14ac:dyDescent="0.3">
      <c r="B50" s="154" t="str">
        <f>Master!AF52</f>
        <v>SOMALIA</v>
      </c>
      <c r="C50" s="148" t="str">
        <f>Master!AG52</f>
        <v>SO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258">
        <v>0</v>
      </c>
      <c r="L50" s="66">
        <v>0</v>
      </c>
      <c r="M50" s="66">
        <v>0</v>
      </c>
      <c r="N50" s="258">
        <v>0</v>
      </c>
      <c r="O50" s="258">
        <v>0</v>
      </c>
      <c r="P50" s="258">
        <f t="shared" si="0"/>
        <v>0</v>
      </c>
      <c r="Q50" s="154" t="str">
        <f>Master!AF52</f>
        <v>SOMALIA</v>
      </c>
    </row>
    <row r="51" spans="2:17" ht="15.75" thickBot="1" x14ac:dyDescent="0.3">
      <c r="B51" s="154" t="str">
        <f>Master!AF53</f>
        <v>SPAIN</v>
      </c>
      <c r="C51" s="148" t="str">
        <f>Master!AG53</f>
        <v>ES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258">
        <v>0</v>
      </c>
      <c r="L51" s="66">
        <v>0</v>
      </c>
      <c r="M51" s="66">
        <v>0</v>
      </c>
      <c r="N51" s="258">
        <v>0</v>
      </c>
      <c r="O51" s="258">
        <v>0</v>
      </c>
      <c r="P51" s="258">
        <f t="shared" si="0"/>
        <v>0</v>
      </c>
      <c r="Q51" s="154" t="str">
        <f>Master!AF53</f>
        <v>SPAIN</v>
      </c>
    </row>
    <row r="52" spans="2:17" ht="15.75" thickBot="1" x14ac:dyDescent="0.3">
      <c r="B52" s="154" t="str">
        <f>Master!AF54</f>
        <v>SOUTH SUDAN</v>
      </c>
      <c r="C52" s="148" t="str">
        <f>Master!AG54</f>
        <v>SS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258">
        <v>0</v>
      </c>
      <c r="L52" s="66">
        <v>0</v>
      </c>
      <c r="M52" s="66">
        <v>0</v>
      </c>
      <c r="N52" s="258">
        <v>0</v>
      </c>
      <c r="O52" s="258">
        <v>0</v>
      </c>
      <c r="P52" s="258">
        <f t="shared" si="0"/>
        <v>0</v>
      </c>
      <c r="Q52" s="154" t="str">
        <f>Master!AF54</f>
        <v>SOUTH SUDAN</v>
      </c>
    </row>
    <row r="53" spans="2:17" ht="15.75" thickBot="1" x14ac:dyDescent="0.3">
      <c r="B53" s="154" t="str">
        <f>Master!AF55</f>
        <v>SRI LANKA</v>
      </c>
      <c r="C53" s="148" t="str">
        <f>Master!AG55</f>
        <v>CE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258">
        <v>0</v>
      </c>
      <c r="L53" s="66">
        <v>0</v>
      </c>
      <c r="M53" s="66">
        <v>0</v>
      </c>
      <c r="N53" s="258">
        <v>0</v>
      </c>
      <c r="O53" s="258">
        <v>0</v>
      </c>
      <c r="P53" s="258">
        <f t="shared" si="0"/>
        <v>0</v>
      </c>
      <c r="Q53" s="154" t="str">
        <f>Master!AF55</f>
        <v>SRI LANKA</v>
      </c>
    </row>
    <row r="54" spans="2:17" ht="15.75" thickBot="1" x14ac:dyDescent="0.3">
      <c r="B54" s="154" t="str">
        <f>Master!AF56</f>
        <v>SUDAN</v>
      </c>
      <c r="C54" s="148" t="str">
        <f>Master!AG56</f>
        <v>SU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1</v>
      </c>
      <c r="K54" s="258">
        <v>0</v>
      </c>
      <c r="L54" s="66">
        <v>0</v>
      </c>
      <c r="M54" s="66">
        <v>0</v>
      </c>
      <c r="N54" s="258">
        <v>0</v>
      </c>
      <c r="O54" s="258">
        <v>0</v>
      </c>
      <c r="P54" s="258">
        <f t="shared" si="0"/>
        <v>1</v>
      </c>
      <c r="Q54" s="154" t="str">
        <f>Master!AF56</f>
        <v>SUDAN</v>
      </c>
    </row>
    <row r="55" spans="2:17" ht="15.75" thickBot="1" x14ac:dyDescent="0.3">
      <c r="B55" s="154" t="str">
        <f>Master!AF57</f>
        <v>SYRIA</v>
      </c>
      <c r="C55" s="148" t="str">
        <f>Master!AG57</f>
        <v>SY</v>
      </c>
      <c r="D55" s="66">
        <v>0</v>
      </c>
      <c r="E55" s="66">
        <v>11</v>
      </c>
      <c r="F55" s="66">
        <v>15</v>
      </c>
      <c r="G55" s="66">
        <v>7</v>
      </c>
      <c r="H55" s="66">
        <v>0</v>
      </c>
      <c r="I55" s="66">
        <v>0</v>
      </c>
      <c r="J55" s="66">
        <v>0</v>
      </c>
      <c r="K55" s="258">
        <v>0</v>
      </c>
      <c r="L55" s="66">
        <v>0</v>
      </c>
      <c r="M55" s="66">
        <v>0</v>
      </c>
      <c r="N55" s="258">
        <v>0</v>
      </c>
      <c r="O55" s="258">
        <v>0</v>
      </c>
      <c r="P55" s="258">
        <f t="shared" si="0"/>
        <v>33</v>
      </c>
      <c r="Q55" s="154" t="str">
        <f>Master!AF57</f>
        <v>SYRIA</v>
      </c>
    </row>
    <row r="56" spans="2:17" ht="15.75" thickBot="1" x14ac:dyDescent="0.3">
      <c r="B56" s="154" t="str">
        <f>Master!AF58</f>
        <v>TAJIKISTAN</v>
      </c>
      <c r="C56" s="148" t="str">
        <f>Master!AG58</f>
        <v>TI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258">
        <v>0</v>
      </c>
      <c r="L56" s="66">
        <v>0</v>
      </c>
      <c r="M56" s="66">
        <v>0</v>
      </c>
      <c r="N56" s="258">
        <v>0</v>
      </c>
      <c r="O56" s="258">
        <v>0</v>
      </c>
      <c r="P56" s="258">
        <f t="shared" si="0"/>
        <v>0</v>
      </c>
      <c r="Q56" s="154" t="str">
        <f>Master!AF58</f>
        <v>TAJIKISTAN</v>
      </c>
    </row>
    <row r="57" spans="2:17" ht="15.75" thickBot="1" x14ac:dyDescent="0.3">
      <c r="B57" s="154" t="str">
        <f>Master!AF59</f>
        <v>TANZANIA</v>
      </c>
      <c r="C57" s="148" t="str">
        <f>Master!AG59</f>
        <v>TZ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258">
        <v>0</v>
      </c>
      <c r="L57" s="66">
        <v>0</v>
      </c>
      <c r="M57" s="66">
        <v>0</v>
      </c>
      <c r="N57" s="258">
        <v>0</v>
      </c>
      <c r="O57" s="258">
        <v>0</v>
      </c>
      <c r="P57" s="258">
        <f t="shared" si="0"/>
        <v>0</v>
      </c>
      <c r="Q57" s="154" t="str">
        <f>Master!AF59</f>
        <v>TANZANIA</v>
      </c>
    </row>
    <row r="58" spans="2:17" ht="15.75" thickBot="1" x14ac:dyDescent="0.3">
      <c r="B58" s="154" t="str">
        <f>Master!AF60</f>
        <v>THAILAND</v>
      </c>
      <c r="C58" s="148" t="str">
        <f>Master!AG60</f>
        <v>TH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258">
        <v>0</v>
      </c>
      <c r="L58" s="66">
        <v>0</v>
      </c>
      <c r="M58" s="66">
        <v>0</v>
      </c>
      <c r="N58" s="258">
        <v>0</v>
      </c>
      <c r="O58" s="258">
        <v>0</v>
      </c>
      <c r="P58" s="258">
        <f t="shared" si="0"/>
        <v>0</v>
      </c>
      <c r="Q58" s="154" t="str">
        <f>Master!AF60</f>
        <v>THAILAND</v>
      </c>
    </row>
    <row r="59" spans="2:17" ht="15.75" thickBot="1" x14ac:dyDescent="0.3">
      <c r="B59" s="154" t="str">
        <f>Master!AF61</f>
        <v>UGANDA</v>
      </c>
      <c r="C59" s="148" t="str">
        <f>Master!AG61</f>
        <v>UG</v>
      </c>
      <c r="D59" s="66">
        <v>1</v>
      </c>
      <c r="E59" s="66">
        <v>1</v>
      </c>
      <c r="F59" s="66">
        <v>0</v>
      </c>
      <c r="G59" s="66">
        <v>0</v>
      </c>
      <c r="H59" s="66">
        <v>1</v>
      </c>
      <c r="I59" s="66">
        <v>0</v>
      </c>
      <c r="J59" s="66">
        <v>0</v>
      </c>
      <c r="K59" s="258">
        <v>0</v>
      </c>
      <c r="L59" s="66">
        <v>0</v>
      </c>
      <c r="M59" s="66">
        <v>0</v>
      </c>
      <c r="N59" s="258">
        <v>0</v>
      </c>
      <c r="O59" s="258">
        <v>0</v>
      </c>
      <c r="P59" s="258">
        <f t="shared" si="0"/>
        <v>3</v>
      </c>
      <c r="Q59" s="154" t="str">
        <f>Master!AF61</f>
        <v>UGANDA</v>
      </c>
    </row>
    <row r="60" spans="2:17" ht="15.75" thickBot="1" x14ac:dyDescent="0.3">
      <c r="B60" s="154" t="str">
        <f>Master!AF62</f>
        <v>UKRAINE</v>
      </c>
      <c r="C60" s="148" t="str">
        <f>Master!AG62</f>
        <v>UP</v>
      </c>
      <c r="D60" s="66">
        <v>9</v>
      </c>
      <c r="E60" s="66">
        <v>0</v>
      </c>
      <c r="F60" s="66">
        <v>10</v>
      </c>
      <c r="G60" s="66">
        <v>6</v>
      </c>
      <c r="H60" s="66">
        <v>0</v>
      </c>
      <c r="I60" s="66">
        <v>4</v>
      </c>
      <c r="J60" s="66">
        <v>1</v>
      </c>
      <c r="K60" s="258">
        <v>7</v>
      </c>
      <c r="L60" s="66">
        <v>11</v>
      </c>
      <c r="M60" s="66">
        <v>0</v>
      </c>
      <c r="N60" s="258">
        <v>7</v>
      </c>
      <c r="O60" s="258">
        <v>0</v>
      </c>
      <c r="P60" s="258">
        <f t="shared" si="0"/>
        <v>55</v>
      </c>
      <c r="Q60" s="154" t="str">
        <f>Master!AF62</f>
        <v>UKRAINE</v>
      </c>
    </row>
    <row r="61" spans="2:17" ht="15.75" thickBot="1" x14ac:dyDescent="0.3">
      <c r="B61" s="154" t="str">
        <f>Master!AF63</f>
        <v>UZBEKISTAN</v>
      </c>
      <c r="C61" s="148" t="str">
        <f>Master!AG63</f>
        <v>UZ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258">
        <v>0</v>
      </c>
      <c r="L61" s="66">
        <v>0</v>
      </c>
      <c r="M61" s="66">
        <v>0</v>
      </c>
      <c r="N61" s="258">
        <v>0</v>
      </c>
      <c r="O61" s="258">
        <v>0</v>
      </c>
      <c r="P61" s="258">
        <f t="shared" si="0"/>
        <v>0</v>
      </c>
      <c r="Q61" s="154" t="str">
        <f>Master!AF63</f>
        <v>UZBEKISTAN</v>
      </c>
    </row>
    <row r="62" spans="2:17" ht="15.75" thickBot="1" x14ac:dyDescent="0.3">
      <c r="B62" s="154" t="str">
        <f>Master!AF64</f>
        <v>VIETNAM</v>
      </c>
      <c r="C62" s="148" t="str">
        <f>Master!AG64</f>
        <v>VM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258">
        <v>0</v>
      </c>
      <c r="L62" s="66">
        <v>0</v>
      </c>
      <c r="M62" s="66">
        <v>0</v>
      </c>
      <c r="N62" s="258">
        <v>0</v>
      </c>
      <c r="O62" s="258">
        <v>0</v>
      </c>
      <c r="P62" s="258">
        <f t="shared" si="0"/>
        <v>0</v>
      </c>
      <c r="Q62" s="154" t="str">
        <f>Master!AF64</f>
        <v>VIETNAM</v>
      </c>
    </row>
    <row r="63" spans="2:17" ht="13.5" customHeight="1" thickBot="1" x14ac:dyDescent="0.3">
      <c r="B63" s="154" t="str">
        <f>Master!AF65</f>
        <v>ZAMBIA</v>
      </c>
      <c r="C63" s="148" t="str">
        <f>Master!AG65</f>
        <v>ZA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258">
        <v>0</v>
      </c>
      <c r="L63" s="66">
        <v>0</v>
      </c>
      <c r="M63" s="66">
        <v>0</v>
      </c>
      <c r="N63" s="258">
        <v>0</v>
      </c>
      <c r="O63" s="258">
        <v>0</v>
      </c>
      <c r="P63" s="258">
        <f t="shared" si="0"/>
        <v>0</v>
      </c>
      <c r="Q63" s="154" t="str">
        <f>Master!AF65</f>
        <v>ZAMBIA</v>
      </c>
    </row>
    <row r="64" spans="2:17" ht="15.75" thickBot="1" x14ac:dyDescent="0.3">
      <c r="B64" s="154"/>
      <c r="C64" s="148"/>
      <c r="D64" s="66"/>
      <c r="E64" s="66"/>
      <c r="F64" s="66"/>
      <c r="G64" s="66"/>
      <c r="H64" s="66"/>
      <c r="I64" s="66"/>
      <c r="J64" s="66"/>
      <c r="K64" s="258"/>
      <c r="L64" s="66"/>
      <c r="M64" s="66"/>
      <c r="N64" s="258"/>
      <c r="O64" s="258"/>
      <c r="P64" s="258">
        <f>SUM(D64:O64)</f>
        <v>0</v>
      </c>
      <c r="Q64" s="154"/>
    </row>
    <row r="65" spans="2:17" ht="15.75" thickBot="1" x14ac:dyDescent="0.3">
      <c r="B65" s="205" t="s">
        <v>53</v>
      </c>
      <c r="C65" s="206"/>
      <c r="D65" s="23">
        <f>SUM(D5:D64)</f>
        <v>15</v>
      </c>
      <c r="E65" s="23">
        <f>SUM(E5:E64)</f>
        <v>21</v>
      </c>
      <c r="F65" s="23">
        <v>35</v>
      </c>
      <c r="G65" s="23">
        <v>27</v>
      </c>
      <c r="H65" s="23">
        <v>4</v>
      </c>
      <c r="I65" s="23">
        <v>13</v>
      </c>
      <c r="J65" s="23">
        <v>11</v>
      </c>
      <c r="K65" s="249">
        <v>22</v>
      </c>
      <c r="L65" s="23">
        <v>23</v>
      </c>
      <c r="M65" s="23">
        <v>0</v>
      </c>
      <c r="N65" s="249">
        <v>16</v>
      </c>
      <c r="O65" s="249">
        <v>4</v>
      </c>
      <c r="P65" s="249">
        <f>SUM(D65:O65)</f>
        <v>191</v>
      </c>
      <c r="Q65" s="24" t="s">
        <v>53</v>
      </c>
    </row>
    <row r="66" spans="2:17" ht="15.75" thickBot="1" x14ac:dyDescent="0.3">
      <c r="K66" s="263"/>
      <c r="N66" s="263"/>
      <c r="O66" s="263"/>
    </row>
    <row r="67" spans="2:17" ht="15.75" thickBot="1" x14ac:dyDescent="0.3">
      <c r="B67" s="207" t="s">
        <v>59</v>
      </c>
      <c r="C67" s="208"/>
      <c r="D67" s="208" t="s">
        <v>10</v>
      </c>
      <c r="E67" s="208"/>
      <c r="F67" s="208"/>
      <c r="G67" s="208"/>
      <c r="H67" s="208"/>
      <c r="I67" s="208"/>
      <c r="J67" s="209"/>
      <c r="K67" s="275"/>
      <c r="L67" s="209"/>
      <c r="M67" s="209"/>
      <c r="N67" s="307"/>
      <c r="O67" s="358"/>
      <c r="P67" s="209"/>
      <c r="Q67" s="210"/>
    </row>
    <row r="68" spans="2:17" ht="15.75" thickBot="1" x14ac:dyDescent="0.3">
      <c r="B68" s="199"/>
      <c r="C68" s="200"/>
      <c r="D68" s="148" t="s">
        <v>19</v>
      </c>
      <c r="E68" s="148" t="s">
        <v>20</v>
      </c>
      <c r="F68" s="148" t="s">
        <v>21</v>
      </c>
      <c r="G68" s="148" t="s">
        <v>22</v>
      </c>
      <c r="H68" s="148" t="s">
        <v>23</v>
      </c>
      <c r="I68" s="148" t="s">
        <v>24</v>
      </c>
      <c r="J68" s="148" t="s">
        <v>25</v>
      </c>
      <c r="K68" s="148" t="s">
        <v>26</v>
      </c>
      <c r="L68" s="148" t="s">
        <v>27</v>
      </c>
      <c r="M68" s="148" t="s">
        <v>28</v>
      </c>
      <c r="N68" s="148" t="s">
        <v>29</v>
      </c>
      <c r="O68" s="148" t="s">
        <v>30</v>
      </c>
      <c r="P68" s="212" t="s">
        <v>40</v>
      </c>
      <c r="Q68" s="203"/>
    </row>
    <row r="69" spans="2:17" ht="15.75" thickBot="1" x14ac:dyDescent="0.3">
      <c r="B69" s="201"/>
      <c r="C69" s="202"/>
      <c r="D69" s="148">
        <v>10</v>
      </c>
      <c r="E69" s="148">
        <v>11</v>
      </c>
      <c r="F69" s="148">
        <v>12</v>
      </c>
      <c r="G69" s="148">
        <v>1</v>
      </c>
      <c r="H69" s="148">
        <v>2</v>
      </c>
      <c r="I69" s="148">
        <v>3</v>
      </c>
      <c r="J69" s="148">
        <v>4</v>
      </c>
      <c r="K69" s="148">
        <v>5</v>
      </c>
      <c r="L69" s="148">
        <v>6</v>
      </c>
      <c r="M69" s="148">
        <v>7</v>
      </c>
      <c r="N69" s="148">
        <v>8</v>
      </c>
      <c r="O69" s="148">
        <v>9</v>
      </c>
      <c r="P69" s="213"/>
      <c r="Q69" s="204"/>
    </row>
    <row r="70" spans="2:17" ht="15.75" thickBot="1" x14ac:dyDescent="0.3">
      <c r="B70" s="154" t="str">
        <f>Master!AF7</f>
        <v>AFGHANISTAN</v>
      </c>
      <c r="C70" s="148" t="str">
        <f>Master!AG7</f>
        <v>AF</v>
      </c>
      <c r="D70" s="66">
        <v>0</v>
      </c>
      <c r="E70" s="258">
        <v>0</v>
      </c>
      <c r="F70" s="258">
        <v>0</v>
      </c>
      <c r="G70" s="258">
        <v>0</v>
      </c>
      <c r="H70" s="258">
        <v>0</v>
      </c>
      <c r="I70" s="258">
        <v>0</v>
      </c>
      <c r="J70" s="258">
        <v>0</v>
      </c>
      <c r="K70" s="258">
        <v>0</v>
      </c>
      <c r="L70" s="258">
        <v>0</v>
      </c>
      <c r="M70" s="258">
        <v>0</v>
      </c>
      <c r="N70" s="258">
        <v>0</v>
      </c>
      <c r="O70" s="258">
        <v>0</v>
      </c>
      <c r="P70" s="258">
        <f>SUM(D70:O70)</f>
        <v>0</v>
      </c>
      <c r="Q70" s="154" t="str">
        <f>Master!AF7</f>
        <v>AFGHANISTAN</v>
      </c>
    </row>
    <row r="71" spans="2:17" ht="15.75" thickBot="1" x14ac:dyDescent="0.3">
      <c r="B71" s="154" t="str">
        <f>Master!AF8</f>
        <v>ARMENIA</v>
      </c>
      <c r="C71" s="148" t="str">
        <f>Master!AG8</f>
        <v>AM</v>
      </c>
      <c r="D71" s="258">
        <v>0</v>
      </c>
      <c r="E71" s="258">
        <v>0</v>
      </c>
      <c r="F71" s="258">
        <v>0</v>
      </c>
      <c r="G71" s="258">
        <v>0</v>
      </c>
      <c r="H71" s="258">
        <v>0</v>
      </c>
      <c r="I71" s="258">
        <v>0</v>
      </c>
      <c r="J71" s="258">
        <v>0</v>
      </c>
      <c r="K71" s="258">
        <v>0</v>
      </c>
      <c r="L71" s="258">
        <v>0</v>
      </c>
      <c r="M71" s="258">
        <v>0</v>
      </c>
      <c r="N71" s="258">
        <v>0</v>
      </c>
      <c r="O71" s="258">
        <v>0</v>
      </c>
      <c r="P71" s="258">
        <f t="shared" ref="P71:P128" si="1">SUM(D71:O71)</f>
        <v>0</v>
      </c>
      <c r="Q71" s="154" t="str">
        <f>Master!AF8</f>
        <v>ARMENIA</v>
      </c>
    </row>
    <row r="72" spans="2:17" ht="15.75" thickBot="1" x14ac:dyDescent="0.3">
      <c r="B72" s="154" t="s">
        <v>780</v>
      </c>
      <c r="C72" s="148" t="s">
        <v>333</v>
      </c>
      <c r="D72" s="258">
        <v>0</v>
      </c>
      <c r="E72" s="258">
        <v>0</v>
      </c>
      <c r="F72" s="258">
        <v>0</v>
      </c>
      <c r="G72" s="258">
        <v>0</v>
      </c>
      <c r="H72" s="258">
        <v>0</v>
      </c>
      <c r="I72" s="258">
        <v>0</v>
      </c>
      <c r="J72" s="258">
        <v>0</v>
      </c>
      <c r="K72" s="258">
        <v>0</v>
      </c>
      <c r="L72" s="258">
        <v>0</v>
      </c>
      <c r="M72" s="258">
        <v>0</v>
      </c>
      <c r="N72" s="258">
        <v>0</v>
      </c>
      <c r="O72" s="258">
        <v>0</v>
      </c>
      <c r="P72" s="258">
        <f t="shared" si="1"/>
        <v>0</v>
      </c>
      <c r="Q72" s="154" t="s">
        <v>780</v>
      </c>
    </row>
    <row r="73" spans="2:17" ht="15.75" thickBot="1" x14ac:dyDescent="0.3">
      <c r="B73" s="154" t="str">
        <f>Master!AF10</f>
        <v>BELARUS</v>
      </c>
      <c r="C73" s="148" t="str">
        <f>Master!AG10</f>
        <v>BO</v>
      </c>
      <c r="D73" s="258">
        <v>0</v>
      </c>
      <c r="E73" s="258">
        <v>0</v>
      </c>
      <c r="F73" s="258">
        <v>0</v>
      </c>
      <c r="G73" s="258">
        <v>0</v>
      </c>
      <c r="H73" s="258">
        <v>0</v>
      </c>
      <c r="I73" s="258">
        <v>0</v>
      </c>
      <c r="J73" s="258">
        <v>0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f t="shared" si="1"/>
        <v>0</v>
      </c>
      <c r="Q73" s="154" t="str">
        <f>Master!AF10</f>
        <v>BELARUS</v>
      </c>
    </row>
    <row r="74" spans="2:17" ht="15.75" thickBot="1" x14ac:dyDescent="0.3">
      <c r="B74" s="154" t="str">
        <f>Master!AF11</f>
        <v>BURMA</v>
      </c>
      <c r="C74" s="148" t="str">
        <f>Master!AG11</f>
        <v>BM</v>
      </c>
      <c r="D74" s="258">
        <v>0</v>
      </c>
      <c r="E74" s="258">
        <v>0</v>
      </c>
      <c r="F74" s="258">
        <v>0</v>
      </c>
      <c r="G74" s="258">
        <v>0</v>
      </c>
      <c r="H74" s="258">
        <v>0</v>
      </c>
      <c r="I74" s="258">
        <v>0</v>
      </c>
      <c r="J74" s="258">
        <v>0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f t="shared" si="1"/>
        <v>0</v>
      </c>
      <c r="Q74" s="154" t="str">
        <f>Master!AF11</f>
        <v>BURMA</v>
      </c>
    </row>
    <row r="75" spans="2:17" ht="15.75" thickBot="1" x14ac:dyDescent="0.3">
      <c r="B75" s="154" t="str">
        <f>Master!AF12</f>
        <v>BHUTAN</v>
      </c>
      <c r="C75" s="148" t="str">
        <f>Master!AG12</f>
        <v>BT</v>
      </c>
      <c r="D75" s="258">
        <v>0</v>
      </c>
      <c r="E75" s="258">
        <v>0</v>
      </c>
      <c r="F75" s="258">
        <v>0</v>
      </c>
      <c r="G75" s="258">
        <v>0</v>
      </c>
      <c r="H75" s="258">
        <v>0</v>
      </c>
      <c r="I75" s="258">
        <v>0</v>
      </c>
      <c r="J75" s="258">
        <v>0</v>
      </c>
      <c r="K75" s="258">
        <v>0</v>
      </c>
      <c r="L75" s="258">
        <v>0</v>
      </c>
      <c r="M75" s="258">
        <v>0</v>
      </c>
      <c r="N75" s="258">
        <v>0</v>
      </c>
      <c r="O75" s="258">
        <v>0</v>
      </c>
      <c r="P75" s="258">
        <f t="shared" si="1"/>
        <v>0</v>
      </c>
      <c r="Q75" s="154" t="str">
        <f>Master!AF12</f>
        <v>BHUTAN</v>
      </c>
    </row>
    <row r="76" spans="2:17" ht="15.75" thickBot="1" x14ac:dyDescent="0.3">
      <c r="B76" s="154" t="s">
        <v>779</v>
      </c>
      <c r="C76" s="148" t="s">
        <v>287</v>
      </c>
      <c r="D76" s="258">
        <v>0</v>
      </c>
      <c r="E76" s="258">
        <v>0</v>
      </c>
      <c r="F76" s="258">
        <v>0</v>
      </c>
      <c r="G76" s="258">
        <v>0</v>
      </c>
      <c r="H76" s="258">
        <v>0</v>
      </c>
      <c r="I76" s="258">
        <v>0</v>
      </c>
      <c r="J76" s="258">
        <v>0</v>
      </c>
      <c r="K76" s="258">
        <v>0</v>
      </c>
      <c r="L76" s="258">
        <v>0</v>
      </c>
      <c r="M76" s="258">
        <v>0</v>
      </c>
      <c r="N76" s="258">
        <v>0</v>
      </c>
      <c r="O76" s="258">
        <v>0</v>
      </c>
      <c r="P76" s="258">
        <f t="shared" si="1"/>
        <v>0</v>
      </c>
      <c r="Q76" s="154" t="s">
        <v>779</v>
      </c>
    </row>
    <row r="77" spans="2:17" ht="15.75" thickBot="1" x14ac:dyDescent="0.3">
      <c r="B77" s="154" t="str">
        <f>Master!AF14</f>
        <v>BURUNDI</v>
      </c>
      <c r="C77" s="148" t="str">
        <f>Master!AG14</f>
        <v>BY</v>
      </c>
      <c r="D77" s="258">
        <v>0</v>
      </c>
      <c r="E77" s="258">
        <v>0</v>
      </c>
      <c r="F77" s="258">
        <v>0</v>
      </c>
      <c r="G77" s="258">
        <v>0</v>
      </c>
      <c r="H77" s="258">
        <v>0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8">
        <v>0</v>
      </c>
      <c r="O77" s="258">
        <v>0</v>
      </c>
      <c r="P77" s="258">
        <f t="shared" si="1"/>
        <v>0</v>
      </c>
      <c r="Q77" s="154" t="str">
        <f>Master!AF14</f>
        <v>BURUNDI</v>
      </c>
    </row>
    <row r="78" spans="2:17" ht="15.75" thickBot="1" x14ac:dyDescent="0.3">
      <c r="B78" s="154" t="str">
        <f>Master!AF15</f>
        <v>CAMEROUN</v>
      </c>
      <c r="C78" s="148" t="str">
        <f>Master!AG15</f>
        <v>CM</v>
      </c>
      <c r="D78" s="258">
        <v>0</v>
      </c>
      <c r="E78" s="258">
        <v>0</v>
      </c>
      <c r="F78" s="258">
        <v>0</v>
      </c>
      <c r="G78" s="258">
        <v>0</v>
      </c>
      <c r="H78" s="258">
        <v>0</v>
      </c>
      <c r="I78" s="258">
        <v>0</v>
      </c>
      <c r="J78" s="258">
        <v>0</v>
      </c>
      <c r="K78" s="258">
        <v>0</v>
      </c>
      <c r="L78" s="258">
        <v>0</v>
      </c>
      <c r="M78" s="258">
        <v>0</v>
      </c>
      <c r="N78" s="258">
        <v>0</v>
      </c>
      <c r="O78" s="258">
        <v>0</v>
      </c>
      <c r="P78" s="258">
        <f t="shared" si="1"/>
        <v>0</v>
      </c>
      <c r="Q78" s="154" t="str">
        <f>Master!AF15</f>
        <v>CAMEROUN</v>
      </c>
    </row>
    <row r="79" spans="2:17" ht="15.75" thickBot="1" x14ac:dyDescent="0.3">
      <c r="B79" s="154" t="str">
        <f>Master!AF16</f>
        <v>CENTRAL AFR REP</v>
      </c>
      <c r="C79" s="148" t="str">
        <f>Master!AG16</f>
        <v>CT</v>
      </c>
      <c r="D79" s="258">
        <v>0</v>
      </c>
      <c r="E79" s="258">
        <v>0</v>
      </c>
      <c r="F79" s="258">
        <v>0</v>
      </c>
      <c r="G79" s="258">
        <v>0</v>
      </c>
      <c r="H79" s="258">
        <v>0</v>
      </c>
      <c r="I79" s="258">
        <v>0</v>
      </c>
      <c r="J79" s="258">
        <v>0</v>
      </c>
      <c r="K79" s="258">
        <v>0</v>
      </c>
      <c r="L79" s="258">
        <v>0</v>
      </c>
      <c r="M79" s="258">
        <v>0</v>
      </c>
      <c r="N79" s="258">
        <v>0</v>
      </c>
      <c r="O79" s="258">
        <v>0</v>
      </c>
      <c r="P79" s="258">
        <f t="shared" si="1"/>
        <v>0</v>
      </c>
      <c r="Q79" s="154" t="str">
        <f>Master!AF16</f>
        <v>CENTRAL AFR REP</v>
      </c>
    </row>
    <row r="80" spans="2:17" ht="15.75" thickBot="1" x14ac:dyDescent="0.3">
      <c r="B80" s="154" t="str">
        <f>Master!AF17</f>
        <v>CHINA</v>
      </c>
      <c r="C80" s="148" t="str">
        <f>Master!AG17</f>
        <v>CH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258">
        <v>0</v>
      </c>
      <c r="L80" s="66">
        <v>0</v>
      </c>
      <c r="M80" s="66">
        <v>0</v>
      </c>
      <c r="N80" s="258">
        <v>0</v>
      </c>
      <c r="O80" s="258">
        <v>0</v>
      </c>
      <c r="P80" s="258">
        <f t="shared" si="1"/>
        <v>0</v>
      </c>
      <c r="Q80" s="154" t="str">
        <f>Master!AF17</f>
        <v>CHINA</v>
      </c>
    </row>
    <row r="81" spans="2:17" ht="15.75" thickBot="1" x14ac:dyDescent="0.3">
      <c r="B81" s="154" t="str">
        <f>Master!AF18</f>
        <v>DEM REP OF CONGO</v>
      </c>
      <c r="C81" s="148" t="str">
        <f>Master!AG18</f>
        <v>CG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258">
        <v>0</v>
      </c>
      <c r="L81" s="66">
        <v>0</v>
      </c>
      <c r="M81" s="66">
        <v>0</v>
      </c>
      <c r="N81" s="258">
        <v>0</v>
      </c>
      <c r="O81" s="258">
        <v>0</v>
      </c>
      <c r="P81" s="258">
        <f t="shared" si="1"/>
        <v>0</v>
      </c>
      <c r="Q81" s="154" t="str">
        <f>Master!AF18</f>
        <v>DEM REP OF CONGO</v>
      </c>
    </row>
    <row r="82" spans="2:17" ht="15.75" thickBot="1" x14ac:dyDescent="0.3">
      <c r="B82" s="154" t="str">
        <f>Master!AF19</f>
        <v>COLUMBIA</v>
      </c>
      <c r="C82" s="148" t="str">
        <f>Master!AG19</f>
        <v>CO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258">
        <v>0</v>
      </c>
      <c r="L82" s="66">
        <v>0</v>
      </c>
      <c r="M82" s="66">
        <v>0</v>
      </c>
      <c r="N82" s="258">
        <v>0</v>
      </c>
      <c r="O82" s="258">
        <v>0</v>
      </c>
      <c r="P82" s="258">
        <f t="shared" si="1"/>
        <v>0</v>
      </c>
      <c r="Q82" s="154" t="str">
        <f>Master!AF19</f>
        <v>COLUMBIA</v>
      </c>
    </row>
    <row r="83" spans="2:17" ht="15.75" thickBot="1" x14ac:dyDescent="0.3">
      <c r="B83" s="154" t="str">
        <f>Master!AF20</f>
        <v>CONGO</v>
      </c>
      <c r="C83" s="148" t="str">
        <f>Master!AG20</f>
        <v>CF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258">
        <v>0</v>
      </c>
      <c r="L83" s="66">
        <v>0</v>
      </c>
      <c r="M83" s="66">
        <v>0</v>
      </c>
      <c r="N83" s="258">
        <v>0</v>
      </c>
      <c r="O83" s="258">
        <v>0</v>
      </c>
      <c r="P83" s="258">
        <f t="shared" si="1"/>
        <v>0</v>
      </c>
      <c r="Q83" s="154" t="str">
        <f>Master!AF20</f>
        <v>CONGO</v>
      </c>
    </row>
    <row r="84" spans="2:17" ht="15.75" thickBot="1" x14ac:dyDescent="0.3">
      <c r="B84" s="154" t="str">
        <f>Master!AF21</f>
        <v>CUBA</v>
      </c>
      <c r="C84" s="148" t="str">
        <f>Master!AG21</f>
        <v>CU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258">
        <v>0</v>
      </c>
      <c r="L84" s="66">
        <v>0</v>
      </c>
      <c r="M84" s="66">
        <v>0</v>
      </c>
      <c r="N84" s="258">
        <v>0</v>
      </c>
      <c r="O84" s="258">
        <v>0</v>
      </c>
      <c r="P84" s="258">
        <f t="shared" si="1"/>
        <v>0</v>
      </c>
      <c r="Q84" s="154" t="str">
        <f>Master!AF21</f>
        <v>CUBA</v>
      </c>
    </row>
    <row r="85" spans="2:17" ht="15.75" thickBot="1" x14ac:dyDescent="0.3">
      <c r="B85" s="154" t="str">
        <f>Master!AF22</f>
        <v>CUBAN ENTRANT</v>
      </c>
      <c r="C85" s="148" t="str">
        <f>Master!AG22</f>
        <v>CUE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258">
        <v>0</v>
      </c>
      <c r="L85" s="66">
        <v>0</v>
      </c>
      <c r="M85" s="66">
        <v>0</v>
      </c>
      <c r="N85" s="258">
        <v>0</v>
      </c>
      <c r="O85" s="258">
        <v>0</v>
      </c>
      <c r="P85" s="258">
        <f t="shared" si="1"/>
        <v>0</v>
      </c>
      <c r="Q85" s="154" t="str">
        <f>Master!AF22</f>
        <v>CUBAN ENTRANT</v>
      </c>
    </row>
    <row r="86" spans="2:17" ht="15.75" thickBot="1" x14ac:dyDescent="0.3">
      <c r="B86" s="154" t="str">
        <f>Master!AF23</f>
        <v>ECUADOR</v>
      </c>
      <c r="C86" s="148" t="str">
        <f>Master!AG23</f>
        <v>EC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258">
        <v>0</v>
      </c>
      <c r="L86" s="66">
        <v>0</v>
      </c>
      <c r="M86" s="66">
        <v>0</v>
      </c>
      <c r="N86" s="258">
        <v>0</v>
      </c>
      <c r="O86" s="258">
        <v>0</v>
      </c>
      <c r="P86" s="258">
        <f t="shared" si="1"/>
        <v>0</v>
      </c>
      <c r="Q86" s="154" t="str">
        <f>Master!AF23</f>
        <v>ECUADOR</v>
      </c>
    </row>
    <row r="87" spans="2:17" ht="15.75" thickBot="1" x14ac:dyDescent="0.3">
      <c r="B87" s="154" t="str">
        <f>Master!AF24</f>
        <v>EGYPT</v>
      </c>
      <c r="C87" s="148" t="str">
        <f>Master!AG24</f>
        <v>EG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258">
        <v>0</v>
      </c>
      <c r="L87" s="66">
        <v>0</v>
      </c>
      <c r="M87" s="66">
        <v>0</v>
      </c>
      <c r="N87" s="258">
        <v>0</v>
      </c>
      <c r="O87" s="258">
        <v>0</v>
      </c>
      <c r="P87" s="258">
        <f t="shared" si="1"/>
        <v>0</v>
      </c>
      <c r="Q87" s="154" t="str">
        <f>Master!AF24</f>
        <v>EGYPT</v>
      </c>
    </row>
    <row r="88" spans="2:17" ht="15.75" thickBot="1" x14ac:dyDescent="0.3">
      <c r="B88" s="154" t="str">
        <f>Master!AF25</f>
        <v>ERITREA</v>
      </c>
      <c r="C88" s="148" t="str">
        <f>Master!AG25</f>
        <v>ER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258">
        <v>0</v>
      </c>
      <c r="L88" s="66">
        <v>0</v>
      </c>
      <c r="M88" s="66">
        <v>0</v>
      </c>
      <c r="N88" s="258">
        <v>0</v>
      </c>
      <c r="O88" s="258">
        <v>0</v>
      </c>
      <c r="P88" s="258">
        <f t="shared" si="1"/>
        <v>0</v>
      </c>
      <c r="Q88" s="154" t="str">
        <f>Master!AF25</f>
        <v>ERITREA</v>
      </c>
    </row>
    <row r="89" spans="2:17" ht="15.75" thickBot="1" x14ac:dyDescent="0.3">
      <c r="B89" s="154" t="str">
        <f>Master!AF26</f>
        <v>ETHIOPIA</v>
      </c>
      <c r="C89" s="148" t="str">
        <f>Master!AG26</f>
        <v>ET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258">
        <v>0</v>
      </c>
      <c r="L89" s="66">
        <v>0</v>
      </c>
      <c r="M89" s="66">
        <v>0</v>
      </c>
      <c r="N89" s="258">
        <v>0</v>
      </c>
      <c r="O89" s="258">
        <v>0</v>
      </c>
      <c r="P89" s="258">
        <f t="shared" si="1"/>
        <v>0</v>
      </c>
      <c r="Q89" s="154" t="str">
        <f>Master!AF26</f>
        <v>ETHIOPIA</v>
      </c>
    </row>
    <row r="90" spans="2:17" ht="15.75" thickBot="1" x14ac:dyDescent="0.3">
      <c r="B90" s="154" t="str">
        <f>Master!AF27</f>
        <v>FRANCE</v>
      </c>
      <c r="C90" s="148" t="str">
        <f>Master!AG27</f>
        <v>FR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258">
        <v>0</v>
      </c>
      <c r="L90" s="66">
        <v>0</v>
      </c>
      <c r="M90" s="66">
        <v>0</v>
      </c>
      <c r="N90" s="258">
        <v>0</v>
      </c>
      <c r="O90" s="258">
        <v>0</v>
      </c>
      <c r="P90" s="258">
        <f t="shared" si="1"/>
        <v>0</v>
      </c>
      <c r="Q90" s="154" t="str">
        <f>Master!AF27</f>
        <v>FRANCE</v>
      </c>
    </row>
    <row r="91" spans="2:17" ht="15.75" thickBot="1" x14ac:dyDescent="0.3">
      <c r="B91" s="154" t="str">
        <f>Master!AF28</f>
        <v>GUINEA</v>
      </c>
      <c r="C91" s="148" t="str">
        <f>Master!AG28</f>
        <v>GV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258">
        <v>0</v>
      </c>
      <c r="L91" s="66">
        <v>0</v>
      </c>
      <c r="M91" s="66">
        <v>0</v>
      </c>
      <c r="N91" s="258">
        <v>0</v>
      </c>
      <c r="O91" s="258">
        <v>0</v>
      </c>
      <c r="P91" s="258">
        <f t="shared" si="1"/>
        <v>0</v>
      </c>
      <c r="Q91" s="154" t="str">
        <f>Master!AF28</f>
        <v>GUINEA</v>
      </c>
    </row>
    <row r="92" spans="2:17" ht="15.75" thickBot="1" x14ac:dyDescent="0.3">
      <c r="B92" s="154" t="str">
        <f>Master!AF29</f>
        <v>HAITI</v>
      </c>
      <c r="C92" s="148" t="str">
        <f>Master!AG29</f>
        <v>HA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258">
        <v>0</v>
      </c>
      <c r="L92" s="66">
        <v>0</v>
      </c>
      <c r="M92" s="66">
        <v>0</v>
      </c>
      <c r="N92" s="258">
        <v>0</v>
      </c>
      <c r="O92" s="258">
        <v>0</v>
      </c>
      <c r="P92" s="258">
        <f t="shared" si="1"/>
        <v>0</v>
      </c>
      <c r="Q92" s="154" t="str">
        <f>Master!AF29</f>
        <v>HAITI</v>
      </c>
    </row>
    <row r="93" spans="2:17" ht="15.75" thickBot="1" x14ac:dyDescent="0.3">
      <c r="B93" s="154" t="str">
        <f>Master!AF30</f>
        <v>INDIA</v>
      </c>
      <c r="C93" s="148" t="str">
        <f>Master!AG30</f>
        <v>IN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258">
        <v>0</v>
      </c>
      <c r="L93" s="66">
        <v>0</v>
      </c>
      <c r="M93" s="66">
        <v>0</v>
      </c>
      <c r="N93" s="258">
        <v>0</v>
      </c>
      <c r="O93" s="258">
        <v>0</v>
      </c>
      <c r="P93" s="258">
        <f t="shared" si="1"/>
        <v>0</v>
      </c>
      <c r="Q93" s="154" t="str">
        <f>Master!AF30</f>
        <v>INDIA</v>
      </c>
    </row>
    <row r="94" spans="2:17" ht="15.75" thickBot="1" x14ac:dyDescent="0.3">
      <c r="B94" s="154" t="str">
        <f>Master!AF31</f>
        <v>INDONESIA</v>
      </c>
      <c r="C94" s="148" t="str">
        <f>Master!AG31</f>
        <v>ID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258">
        <v>0</v>
      </c>
      <c r="L94" s="66">
        <v>0</v>
      </c>
      <c r="M94" s="66">
        <v>0</v>
      </c>
      <c r="N94" s="258">
        <v>0</v>
      </c>
      <c r="O94" s="258">
        <v>0</v>
      </c>
      <c r="P94" s="258">
        <f t="shared" si="1"/>
        <v>0</v>
      </c>
      <c r="Q94" s="154" t="str">
        <f>Master!AF31</f>
        <v>INDONESIA</v>
      </c>
    </row>
    <row r="95" spans="2:17" ht="15.75" thickBot="1" x14ac:dyDescent="0.3">
      <c r="B95" s="154" t="str">
        <f>Master!AF32</f>
        <v>IRAN</v>
      </c>
      <c r="C95" s="148" t="str">
        <f>Master!AG32</f>
        <v>IR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258">
        <v>0</v>
      </c>
      <c r="L95" s="66">
        <v>0</v>
      </c>
      <c r="M95" s="66">
        <v>0</v>
      </c>
      <c r="N95" s="258">
        <v>0</v>
      </c>
      <c r="O95" s="258">
        <v>0</v>
      </c>
      <c r="P95" s="258">
        <f t="shared" si="1"/>
        <v>0</v>
      </c>
      <c r="Q95" s="154" t="str">
        <f>Master!AF32</f>
        <v>IRAN</v>
      </c>
    </row>
    <row r="96" spans="2:17" ht="15.75" thickBot="1" x14ac:dyDescent="0.3">
      <c r="B96" s="154" t="str">
        <f>Master!AF33</f>
        <v>IRAQ</v>
      </c>
      <c r="C96" s="148" t="str">
        <f>Master!AG33</f>
        <v>IZ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258">
        <v>0</v>
      </c>
      <c r="L96" s="66">
        <v>0</v>
      </c>
      <c r="M96" s="66">
        <v>0</v>
      </c>
      <c r="N96" s="258">
        <v>0</v>
      </c>
      <c r="O96" s="258">
        <v>0</v>
      </c>
      <c r="P96" s="258">
        <f t="shared" si="1"/>
        <v>0</v>
      </c>
      <c r="Q96" s="154" t="str">
        <f>Master!AF33</f>
        <v>IRAQ</v>
      </c>
    </row>
    <row r="97" spans="2:17" ht="15.75" thickBot="1" x14ac:dyDescent="0.3">
      <c r="B97" s="154" t="str">
        <f>Master!AF34</f>
        <v>IVORY COAST</v>
      </c>
      <c r="C97" s="148" t="str">
        <f>Master!AG34</f>
        <v>IV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258">
        <v>0</v>
      </c>
      <c r="L97" s="66">
        <v>0</v>
      </c>
      <c r="M97" s="66">
        <v>0</v>
      </c>
      <c r="N97" s="258">
        <v>0</v>
      </c>
      <c r="O97" s="258">
        <v>0</v>
      </c>
      <c r="P97" s="258">
        <f t="shared" si="1"/>
        <v>0</v>
      </c>
      <c r="Q97" s="154" t="str">
        <f>Master!AF34</f>
        <v>IVORY COAST</v>
      </c>
    </row>
    <row r="98" spans="2:17" ht="15.75" thickBot="1" x14ac:dyDescent="0.3">
      <c r="B98" s="154" t="str">
        <f>Master!AF35</f>
        <v>JORDAN</v>
      </c>
      <c r="C98" s="148" t="str">
        <f>Master!AG35</f>
        <v>JO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258">
        <v>0</v>
      </c>
      <c r="L98" s="66">
        <v>0</v>
      </c>
      <c r="M98" s="66">
        <v>0</v>
      </c>
      <c r="N98" s="258">
        <v>0</v>
      </c>
      <c r="O98" s="258">
        <v>0</v>
      </c>
      <c r="P98" s="258">
        <f t="shared" si="1"/>
        <v>0</v>
      </c>
      <c r="Q98" s="154" t="str">
        <f>Master!AF35</f>
        <v>JORDAN</v>
      </c>
    </row>
    <row r="99" spans="2:17" ht="15.75" thickBot="1" x14ac:dyDescent="0.3">
      <c r="B99" s="154" t="str">
        <f>Master!AF36</f>
        <v>KAZAKHSTAN</v>
      </c>
      <c r="C99" s="148" t="str">
        <f>Master!AG36</f>
        <v>KZ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258">
        <v>0</v>
      </c>
      <c r="L99" s="66">
        <v>0</v>
      </c>
      <c r="M99" s="66">
        <v>0</v>
      </c>
      <c r="N99" s="258">
        <v>0</v>
      </c>
      <c r="O99" s="258">
        <v>0</v>
      </c>
      <c r="P99" s="258">
        <f t="shared" si="1"/>
        <v>0</v>
      </c>
      <c r="Q99" s="154" t="str">
        <f>Master!AF36</f>
        <v>KAZAKHSTAN</v>
      </c>
    </row>
    <row r="100" spans="2:17" ht="15.75" thickBot="1" x14ac:dyDescent="0.3">
      <c r="B100" s="154" t="str">
        <f>Master!AF37</f>
        <v>KENYA</v>
      </c>
      <c r="C100" s="148" t="str">
        <f>Master!AG37</f>
        <v>KE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258">
        <v>0</v>
      </c>
      <c r="L100" s="66">
        <v>0</v>
      </c>
      <c r="M100" s="66">
        <v>0</v>
      </c>
      <c r="N100" s="258">
        <v>0</v>
      </c>
      <c r="O100" s="258">
        <v>0</v>
      </c>
      <c r="P100" s="258">
        <f t="shared" si="1"/>
        <v>0</v>
      </c>
      <c r="Q100" s="154" t="str">
        <f>Master!AF37</f>
        <v>KENYA</v>
      </c>
    </row>
    <row r="101" spans="2:17" ht="15.75" thickBot="1" x14ac:dyDescent="0.3">
      <c r="B101" s="154" t="str">
        <f>Master!AF38</f>
        <v>LEBANON</v>
      </c>
      <c r="C101" s="148" t="str">
        <f>Master!AG38</f>
        <v>LE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258">
        <v>0</v>
      </c>
      <c r="L101" s="66">
        <v>0</v>
      </c>
      <c r="M101" s="66">
        <v>0</v>
      </c>
      <c r="N101" s="258">
        <v>0</v>
      </c>
      <c r="O101" s="258">
        <v>0</v>
      </c>
      <c r="P101" s="258">
        <f t="shared" si="1"/>
        <v>0</v>
      </c>
      <c r="Q101" s="154" t="str">
        <f>Master!AF38</f>
        <v>LEBANON</v>
      </c>
    </row>
    <row r="102" spans="2:17" ht="15.75" thickBot="1" x14ac:dyDescent="0.3">
      <c r="B102" s="154" t="str">
        <f>Master!AF39</f>
        <v>LIBERIA</v>
      </c>
      <c r="C102" s="148" t="str">
        <f>Master!AG39</f>
        <v>LI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258">
        <v>0</v>
      </c>
      <c r="L102" s="66">
        <v>0</v>
      </c>
      <c r="M102" s="66">
        <v>0</v>
      </c>
      <c r="N102" s="258">
        <v>0</v>
      </c>
      <c r="O102" s="258">
        <v>0</v>
      </c>
      <c r="P102" s="258">
        <f t="shared" si="1"/>
        <v>0</v>
      </c>
      <c r="Q102" s="154" t="str">
        <f>Master!AF39</f>
        <v>LIBERIA</v>
      </c>
    </row>
    <row r="103" spans="2:17" ht="15.75" thickBot="1" x14ac:dyDescent="0.3">
      <c r="B103" s="154" t="str">
        <f>Master!AF40</f>
        <v>LIBYA</v>
      </c>
      <c r="C103" s="148" t="str">
        <f>Master!AG40</f>
        <v>LY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258">
        <v>0</v>
      </c>
      <c r="L103" s="66">
        <v>0</v>
      </c>
      <c r="M103" s="66">
        <v>0</v>
      </c>
      <c r="N103" s="258">
        <v>0</v>
      </c>
      <c r="O103" s="258">
        <v>0</v>
      </c>
      <c r="P103" s="258">
        <f t="shared" si="1"/>
        <v>0</v>
      </c>
      <c r="Q103" s="154" t="str">
        <f>Master!AF40</f>
        <v>LIBYA</v>
      </c>
    </row>
    <row r="104" spans="2:17" ht="15.75" thickBot="1" x14ac:dyDescent="0.3">
      <c r="B104" s="154" t="str">
        <f>Master!AF41</f>
        <v>MOLDOVA</v>
      </c>
      <c r="C104" s="148" t="str">
        <f>Master!AG41</f>
        <v>MD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258">
        <v>0</v>
      </c>
      <c r="L104" s="66">
        <v>0</v>
      </c>
      <c r="M104" s="66">
        <v>0</v>
      </c>
      <c r="N104" s="258">
        <v>0</v>
      </c>
      <c r="O104" s="258">
        <v>0</v>
      </c>
      <c r="P104" s="258">
        <f t="shared" si="1"/>
        <v>0</v>
      </c>
      <c r="Q104" s="154" t="str">
        <f>Master!AF41</f>
        <v>MOLDOVA</v>
      </c>
    </row>
    <row r="105" spans="2:17" ht="15.75" thickBot="1" x14ac:dyDescent="0.3">
      <c r="B105" s="154" t="str">
        <f>Master!AF42</f>
        <v>MALI</v>
      </c>
      <c r="C105" s="148" t="str">
        <f>Master!AG42</f>
        <v>ML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258">
        <v>0</v>
      </c>
      <c r="L105" s="66">
        <v>0</v>
      </c>
      <c r="M105" s="66">
        <v>0</v>
      </c>
      <c r="N105" s="258">
        <v>0</v>
      </c>
      <c r="O105" s="258">
        <v>0</v>
      </c>
      <c r="P105" s="258">
        <f t="shared" si="1"/>
        <v>0</v>
      </c>
      <c r="Q105" s="154" t="str">
        <f>Master!AF42</f>
        <v>MALI</v>
      </c>
    </row>
    <row r="106" spans="2:17" ht="15.75" thickBot="1" x14ac:dyDescent="0.3">
      <c r="B106" s="154" t="str">
        <f>Master!AF43</f>
        <v>MALAYSIA</v>
      </c>
      <c r="C106" s="148" t="str">
        <f>Master!AG43</f>
        <v>MY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258">
        <v>0</v>
      </c>
      <c r="L106" s="66">
        <v>0</v>
      </c>
      <c r="M106" s="66">
        <v>0</v>
      </c>
      <c r="N106" s="258">
        <v>0</v>
      </c>
      <c r="O106" s="258">
        <v>0</v>
      </c>
      <c r="P106" s="258">
        <f t="shared" si="1"/>
        <v>0</v>
      </c>
      <c r="Q106" s="154" t="str">
        <f>Master!AF43</f>
        <v>MALAYSIA</v>
      </c>
    </row>
    <row r="107" spans="2:17" ht="15.75" thickBot="1" x14ac:dyDescent="0.3">
      <c r="B107" s="154" t="str">
        <f>Master!AF44</f>
        <v>NAMIBIA</v>
      </c>
      <c r="C107" s="148" t="str">
        <f>Master!AG44</f>
        <v>WA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258">
        <v>0</v>
      </c>
      <c r="L107" s="66">
        <v>0</v>
      </c>
      <c r="M107" s="66">
        <v>0</v>
      </c>
      <c r="N107" s="258">
        <v>0</v>
      </c>
      <c r="O107" s="258">
        <v>0</v>
      </c>
      <c r="P107" s="258">
        <f t="shared" si="1"/>
        <v>0</v>
      </c>
      <c r="Q107" s="154" t="str">
        <f>Master!AF44</f>
        <v>NAMIBIA</v>
      </c>
    </row>
    <row r="108" spans="2:17" ht="15.75" thickBot="1" x14ac:dyDescent="0.3">
      <c r="B108" s="154" t="str">
        <f>Master!AF45</f>
        <v>NEPAL</v>
      </c>
      <c r="C108" s="148" t="str">
        <f>Master!AG45</f>
        <v>NP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258">
        <v>0</v>
      </c>
      <c r="L108" s="66">
        <v>0</v>
      </c>
      <c r="M108" s="66">
        <v>0</v>
      </c>
      <c r="N108" s="258">
        <v>0</v>
      </c>
      <c r="O108" s="258">
        <v>0</v>
      </c>
      <c r="P108" s="258">
        <f t="shared" si="1"/>
        <v>0</v>
      </c>
      <c r="Q108" s="154" t="str">
        <f>Master!AF45</f>
        <v>NEPAL</v>
      </c>
    </row>
    <row r="109" spans="2:17" ht="15.75" thickBot="1" x14ac:dyDescent="0.3">
      <c r="B109" s="154" t="str">
        <f>Master!AF46</f>
        <v>NIGERIA</v>
      </c>
      <c r="C109" s="148" t="str">
        <f>Master!AG46</f>
        <v>NI</v>
      </c>
      <c r="D109" s="258">
        <v>0</v>
      </c>
      <c r="E109" s="258">
        <v>0</v>
      </c>
      <c r="F109" s="258">
        <v>0</v>
      </c>
      <c r="G109" s="258">
        <v>0</v>
      </c>
      <c r="H109" s="258">
        <v>0</v>
      </c>
      <c r="I109" s="258">
        <v>0</v>
      </c>
      <c r="J109" s="258">
        <v>0</v>
      </c>
      <c r="K109" s="258">
        <v>0</v>
      </c>
      <c r="L109" s="258">
        <v>0</v>
      </c>
      <c r="M109" s="258">
        <v>0</v>
      </c>
      <c r="N109" s="258">
        <v>0</v>
      </c>
      <c r="O109" s="258">
        <v>0</v>
      </c>
      <c r="P109" s="258">
        <f t="shared" si="1"/>
        <v>0</v>
      </c>
      <c r="Q109" s="154" t="str">
        <f>Master!AF46</f>
        <v>NIGERIA</v>
      </c>
    </row>
    <row r="110" spans="2:17" ht="15.75" thickBot="1" x14ac:dyDescent="0.3">
      <c r="B110" s="154" t="str">
        <f>Master!AF47</f>
        <v>PAKISTAN</v>
      </c>
      <c r="C110" s="148" t="str">
        <f>Master!AG47</f>
        <v>PK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258">
        <v>0</v>
      </c>
      <c r="L110" s="66">
        <v>0</v>
      </c>
      <c r="M110" s="66">
        <v>0</v>
      </c>
      <c r="N110" s="258">
        <v>0</v>
      </c>
      <c r="O110" s="258">
        <v>0</v>
      </c>
      <c r="P110" s="258">
        <f t="shared" si="1"/>
        <v>0</v>
      </c>
      <c r="Q110" s="154" t="str">
        <f>Master!AF47</f>
        <v>PAKISTAN</v>
      </c>
    </row>
    <row r="111" spans="2:17" ht="15.75" thickBot="1" x14ac:dyDescent="0.3">
      <c r="B111" s="154" t="str">
        <f>Master!AF48</f>
        <v>PITCAIRN ISLANDS</v>
      </c>
      <c r="C111" s="148" t="str">
        <f>Master!AG48</f>
        <v>PN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258">
        <v>0</v>
      </c>
      <c r="L111" s="66">
        <v>0</v>
      </c>
      <c r="M111" s="66">
        <v>0</v>
      </c>
      <c r="N111" s="258">
        <v>0</v>
      </c>
      <c r="O111" s="258">
        <v>0</v>
      </c>
      <c r="P111" s="258">
        <f t="shared" si="1"/>
        <v>0</v>
      </c>
      <c r="Q111" s="154" t="str">
        <f>Master!AF48</f>
        <v>PITCAIRN ISLANDS</v>
      </c>
    </row>
    <row r="112" spans="2:17" ht="15.75" thickBot="1" x14ac:dyDescent="0.3">
      <c r="B112" s="154" t="str">
        <f>Master!AF49</f>
        <v>RWANDA</v>
      </c>
      <c r="C112" s="148" t="str">
        <f>Master!AG49</f>
        <v>RW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258">
        <v>0</v>
      </c>
      <c r="L112" s="66">
        <v>0</v>
      </c>
      <c r="M112" s="66">
        <v>0</v>
      </c>
      <c r="N112" s="258">
        <v>0</v>
      </c>
      <c r="O112" s="258">
        <v>0</v>
      </c>
      <c r="P112" s="258">
        <f t="shared" si="1"/>
        <v>0</v>
      </c>
      <c r="Q112" s="154" t="str">
        <f>Master!AF49</f>
        <v>RWANDA</v>
      </c>
    </row>
    <row r="113" spans="2:17" ht="15.75" thickBot="1" x14ac:dyDescent="0.3">
      <c r="B113" s="154" t="str">
        <f>Master!AF50</f>
        <v>RUSSIA</v>
      </c>
      <c r="C113" s="148" t="str">
        <f>Master!AG50</f>
        <v>RS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258">
        <v>0</v>
      </c>
      <c r="L113" s="66">
        <v>0</v>
      </c>
      <c r="M113" s="66">
        <v>0</v>
      </c>
      <c r="N113" s="258">
        <v>0</v>
      </c>
      <c r="O113" s="258">
        <v>0</v>
      </c>
      <c r="P113" s="258">
        <f t="shared" si="1"/>
        <v>0</v>
      </c>
      <c r="Q113" s="154" t="str">
        <f>Master!AF50</f>
        <v>RUSSIA</v>
      </c>
    </row>
    <row r="114" spans="2:17" ht="15.75" thickBot="1" x14ac:dyDescent="0.3">
      <c r="B114" s="154" t="str">
        <f>Master!AF51</f>
        <v>SIERRA LEON</v>
      </c>
      <c r="C114" s="148" t="str">
        <f>Master!AG51</f>
        <v>SL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258">
        <v>0</v>
      </c>
      <c r="L114" s="66">
        <v>0</v>
      </c>
      <c r="M114" s="66">
        <v>0</v>
      </c>
      <c r="N114" s="258">
        <v>0</v>
      </c>
      <c r="O114" s="258">
        <v>0</v>
      </c>
      <c r="P114" s="258">
        <f t="shared" si="1"/>
        <v>0</v>
      </c>
      <c r="Q114" s="154" t="str">
        <f>Master!AF51</f>
        <v>SIERRA LEON</v>
      </c>
    </row>
    <row r="115" spans="2:17" ht="15.75" thickBot="1" x14ac:dyDescent="0.3">
      <c r="B115" s="154" t="str">
        <f>Master!AF52</f>
        <v>SOMALIA</v>
      </c>
      <c r="C115" s="148" t="str">
        <f>Master!AG52</f>
        <v>SO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258">
        <v>0</v>
      </c>
      <c r="L115" s="66">
        <v>0</v>
      </c>
      <c r="M115" s="66">
        <v>0</v>
      </c>
      <c r="N115" s="258">
        <v>0</v>
      </c>
      <c r="O115" s="258">
        <v>0</v>
      </c>
      <c r="P115" s="258">
        <f t="shared" si="1"/>
        <v>0</v>
      </c>
      <c r="Q115" s="154" t="str">
        <f>Master!AF52</f>
        <v>SOMALIA</v>
      </c>
    </row>
    <row r="116" spans="2:17" ht="15.75" thickBot="1" x14ac:dyDescent="0.3">
      <c r="B116" s="154" t="str">
        <f>Master!AF53</f>
        <v>SPAIN</v>
      </c>
      <c r="C116" s="148" t="str">
        <f>Master!AG53</f>
        <v>ES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258">
        <v>0</v>
      </c>
      <c r="L116" s="66">
        <v>0</v>
      </c>
      <c r="M116" s="66">
        <v>0</v>
      </c>
      <c r="N116" s="258">
        <v>0</v>
      </c>
      <c r="O116" s="258">
        <v>0</v>
      </c>
      <c r="P116" s="258">
        <f t="shared" si="1"/>
        <v>0</v>
      </c>
      <c r="Q116" s="154" t="str">
        <f>Master!AF53</f>
        <v>SPAIN</v>
      </c>
    </row>
    <row r="117" spans="2:17" ht="15.75" thickBot="1" x14ac:dyDescent="0.3">
      <c r="B117" s="154" t="str">
        <f>Master!AF54</f>
        <v>SOUTH SUDAN</v>
      </c>
      <c r="C117" s="148" t="str">
        <f>Master!AG54</f>
        <v>SS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258">
        <v>0</v>
      </c>
      <c r="L117" s="66">
        <v>0</v>
      </c>
      <c r="M117" s="66">
        <v>0</v>
      </c>
      <c r="N117" s="258">
        <v>0</v>
      </c>
      <c r="O117" s="258">
        <v>0</v>
      </c>
      <c r="P117" s="258">
        <f t="shared" si="1"/>
        <v>0</v>
      </c>
      <c r="Q117" s="154" t="str">
        <f>Master!AF54</f>
        <v>SOUTH SUDAN</v>
      </c>
    </row>
    <row r="118" spans="2:17" ht="15.75" thickBot="1" x14ac:dyDescent="0.3">
      <c r="B118" s="154" t="str">
        <f>Master!AF55</f>
        <v>SRI LANKA</v>
      </c>
      <c r="C118" s="148" t="str">
        <f>Master!AG55</f>
        <v>CE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258">
        <v>0</v>
      </c>
      <c r="L118" s="66">
        <v>0</v>
      </c>
      <c r="M118" s="66">
        <v>0</v>
      </c>
      <c r="N118" s="258">
        <v>0</v>
      </c>
      <c r="O118" s="258">
        <v>0</v>
      </c>
      <c r="P118" s="258">
        <f t="shared" si="1"/>
        <v>0</v>
      </c>
      <c r="Q118" s="154" t="str">
        <f>Master!AF55</f>
        <v>SRI LANKA</v>
      </c>
    </row>
    <row r="119" spans="2:17" ht="15.75" thickBot="1" x14ac:dyDescent="0.3">
      <c r="B119" s="154" t="str">
        <f>Master!AF56</f>
        <v>SUDAN</v>
      </c>
      <c r="C119" s="148" t="str">
        <f>Master!AG56</f>
        <v>SU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258">
        <v>0</v>
      </c>
      <c r="L119" s="66">
        <v>0</v>
      </c>
      <c r="M119" s="66">
        <v>0</v>
      </c>
      <c r="N119" s="258">
        <v>0</v>
      </c>
      <c r="O119" s="258">
        <v>0</v>
      </c>
      <c r="P119" s="258">
        <f t="shared" si="1"/>
        <v>0</v>
      </c>
      <c r="Q119" s="154" t="str">
        <f>Master!AF56</f>
        <v>SUDAN</v>
      </c>
    </row>
    <row r="120" spans="2:17" ht="15.75" thickBot="1" x14ac:dyDescent="0.3">
      <c r="B120" s="154" t="str">
        <f>Master!AF57</f>
        <v>SYRIA</v>
      </c>
      <c r="C120" s="148" t="str">
        <f>Master!AG57</f>
        <v>SY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258">
        <v>0</v>
      </c>
      <c r="L120" s="66">
        <v>0</v>
      </c>
      <c r="M120" s="66">
        <v>0</v>
      </c>
      <c r="N120" s="258">
        <v>0</v>
      </c>
      <c r="O120" s="258">
        <v>0</v>
      </c>
      <c r="P120" s="258">
        <f t="shared" si="1"/>
        <v>0</v>
      </c>
      <c r="Q120" s="154" t="str">
        <f>Master!AF57</f>
        <v>SYRIA</v>
      </c>
    </row>
    <row r="121" spans="2:17" ht="15.75" thickBot="1" x14ac:dyDescent="0.3">
      <c r="B121" s="154" t="str">
        <f>Master!AF58</f>
        <v>TAJIKISTAN</v>
      </c>
      <c r="C121" s="148" t="str">
        <f>Master!AG58</f>
        <v>TI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258">
        <v>0</v>
      </c>
      <c r="L121" s="66">
        <v>0</v>
      </c>
      <c r="M121" s="66">
        <v>0</v>
      </c>
      <c r="N121" s="258">
        <v>0</v>
      </c>
      <c r="O121" s="258">
        <v>0</v>
      </c>
      <c r="P121" s="258">
        <f t="shared" si="1"/>
        <v>0</v>
      </c>
      <c r="Q121" s="154" t="str">
        <f>Master!AF58</f>
        <v>TAJIKISTAN</v>
      </c>
    </row>
    <row r="122" spans="2:17" ht="13.5" customHeight="1" thickBot="1" x14ac:dyDescent="0.3">
      <c r="B122" s="154" t="str">
        <f>Master!AF59</f>
        <v>TANZANIA</v>
      </c>
      <c r="C122" s="148" t="str">
        <f>Master!AG59</f>
        <v>TZ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258">
        <v>0</v>
      </c>
      <c r="L122" s="66">
        <v>0</v>
      </c>
      <c r="M122" s="66">
        <v>0</v>
      </c>
      <c r="N122" s="258">
        <v>0</v>
      </c>
      <c r="O122" s="258">
        <v>0</v>
      </c>
      <c r="P122" s="258">
        <f t="shared" si="1"/>
        <v>0</v>
      </c>
      <c r="Q122" s="154" t="str">
        <f>Master!AF59</f>
        <v>TANZANIA</v>
      </c>
    </row>
    <row r="123" spans="2:17" ht="13.5" customHeight="1" thickBot="1" x14ac:dyDescent="0.3">
      <c r="B123" s="154" t="str">
        <f>Master!AF60</f>
        <v>THAILAND</v>
      </c>
      <c r="C123" s="148" t="str">
        <f>Master!AG60</f>
        <v>TH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258">
        <v>0</v>
      </c>
      <c r="L123" s="66">
        <v>0</v>
      </c>
      <c r="M123" s="66">
        <v>0</v>
      </c>
      <c r="N123" s="258">
        <v>0</v>
      </c>
      <c r="O123" s="258">
        <v>0</v>
      </c>
      <c r="P123" s="258">
        <f t="shared" si="1"/>
        <v>0</v>
      </c>
      <c r="Q123" s="154" t="str">
        <f>Master!AF60</f>
        <v>THAILAND</v>
      </c>
    </row>
    <row r="124" spans="2:17" ht="15.75" thickBot="1" x14ac:dyDescent="0.3">
      <c r="B124" s="154" t="str">
        <f>Master!AF61</f>
        <v>UGANDA</v>
      </c>
      <c r="C124" s="148" t="str">
        <f>Master!AG61</f>
        <v>UG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258">
        <v>0</v>
      </c>
      <c r="L124" s="66">
        <v>0</v>
      </c>
      <c r="M124" s="66">
        <v>0</v>
      </c>
      <c r="N124" s="258">
        <v>0</v>
      </c>
      <c r="O124" s="258">
        <v>0</v>
      </c>
      <c r="P124" s="258">
        <f t="shared" si="1"/>
        <v>0</v>
      </c>
      <c r="Q124" s="154" t="str">
        <f>Master!AF61</f>
        <v>UGANDA</v>
      </c>
    </row>
    <row r="125" spans="2:17" ht="15.75" thickBot="1" x14ac:dyDescent="0.3">
      <c r="B125" s="154" t="str">
        <f>Master!AF62</f>
        <v>UKRAINE</v>
      </c>
      <c r="C125" s="148" t="str">
        <f>Master!AG62</f>
        <v>UP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258">
        <v>0</v>
      </c>
      <c r="L125" s="66">
        <v>0</v>
      </c>
      <c r="M125" s="66">
        <v>0</v>
      </c>
      <c r="N125" s="258">
        <v>0</v>
      </c>
      <c r="O125" s="258">
        <v>0</v>
      </c>
      <c r="P125" s="258">
        <f t="shared" si="1"/>
        <v>0</v>
      </c>
      <c r="Q125" s="154" t="str">
        <f>Master!AF62</f>
        <v>UKRAINE</v>
      </c>
    </row>
    <row r="126" spans="2:17" ht="15.75" thickBot="1" x14ac:dyDescent="0.3">
      <c r="B126" s="154" t="str">
        <f>Master!AF63</f>
        <v>UZBEKISTAN</v>
      </c>
      <c r="C126" s="148" t="str">
        <f>Master!AG63</f>
        <v>UZ</v>
      </c>
      <c r="D126" s="66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258">
        <v>0</v>
      </c>
      <c r="L126" s="66">
        <v>0</v>
      </c>
      <c r="M126" s="66">
        <v>0</v>
      </c>
      <c r="N126" s="258">
        <v>0</v>
      </c>
      <c r="O126" s="258">
        <v>0</v>
      </c>
      <c r="P126" s="258">
        <f t="shared" si="1"/>
        <v>0</v>
      </c>
      <c r="Q126" s="154" t="str">
        <f>Master!AF63</f>
        <v>UZBEKISTAN</v>
      </c>
    </row>
    <row r="127" spans="2:17" ht="15.75" thickBot="1" x14ac:dyDescent="0.3">
      <c r="B127" s="154" t="str">
        <f>Master!AF64</f>
        <v>VIETNAM</v>
      </c>
      <c r="C127" s="148" t="str">
        <f>Master!AG64</f>
        <v>VM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258">
        <v>0</v>
      </c>
      <c r="L127" s="66">
        <v>0</v>
      </c>
      <c r="M127" s="66">
        <v>0</v>
      </c>
      <c r="N127" s="258">
        <v>0</v>
      </c>
      <c r="O127" s="258">
        <v>0</v>
      </c>
      <c r="P127" s="258">
        <f t="shared" si="1"/>
        <v>0</v>
      </c>
      <c r="Q127" s="154" t="str">
        <f>Master!AF64</f>
        <v>VIETNAM</v>
      </c>
    </row>
    <row r="128" spans="2:17" ht="15.75" thickBot="1" x14ac:dyDescent="0.3">
      <c r="B128" s="154" t="str">
        <f>Master!AF65</f>
        <v>ZAMBIA</v>
      </c>
      <c r="C128" s="148" t="str">
        <f>Master!AG65</f>
        <v>ZA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258">
        <v>0</v>
      </c>
      <c r="L128" s="66">
        <v>0</v>
      </c>
      <c r="M128" s="66">
        <v>0</v>
      </c>
      <c r="N128" s="258">
        <v>0</v>
      </c>
      <c r="O128" s="258">
        <v>0</v>
      </c>
      <c r="P128" s="258">
        <f t="shared" si="1"/>
        <v>0</v>
      </c>
      <c r="Q128" s="154" t="str">
        <f>Master!AF65</f>
        <v>ZAMBIA</v>
      </c>
    </row>
    <row r="129" spans="2:17" ht="15.75" thickBot="1" x14ac:dyDescent="0.3">
      <c r="B129" s="154"/>
      <c r="C129" s="148"/>
      <c r="D129" s="66"/>
      <c r="E129" s="66"/>
      <c r="F129" s="66"/>
      <c r="G129" s="66"/>
      <c r="H129" s="66"/>
      <c r="I129" s="66"/>
      <c r="J129" s="66"/>
      <c r="K129" s="258"/>
      <c r="L129" s="66"/>
      <c r="M129" s="66"/>
      <c r="N129" s="258"/>
      <c r="O129" s="258"/>
      <c r="P129" s="258"/>
      <c r="Q129" s="154"/>
    </row>
    <row r="130" spans="2:17" ht="15.75" thickBot="1" x14ac:dyDescent="0.3">
      <c r="B130" s="205" t="s">
        <v>53</v>
      </c>
      <c r="C130" s="206"/>
      <c r="D130" s="23">
        <f>SUM(D70:D129)</f>
        <v>0</v>
      </c>
      <c r="E130" s="23">
        <f>SUM(E70:E129)</f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49">
        <v>0</v>
      </c>
      <c r="L130" s="23">
        <v>0</v>
      </c>
      <c r="M130" s="23">
        <v>0</v>
      </c>
      <c r="N130" s="249">
        <v>0</v>
      </c>
      <c r="O130" s="249">
        <v>0</v>
      </c>
      <c r="P130" s="249">
        <f>SUM(D130:O130)</f>
        <v>0</v>
      </c>
      <c r="Q130" s="24" t="s">
        <v>53</v>
      </c>
    </row>
    <row r="131" spans="2:17" ht="15.75" thickBot="1" x14ac:dyDescent="0.3">
      <c r="K131" s="263"/>
      <c r="N131" s="263"/>
      <c r="O131" s="263"/>
    </row>
    <row r="132" spans="2:17" ht="15.75" thickBot="1" x14ac:dyDescent="0.3">
      <c r="B132" s="207" t="s">
        <v>1</v>
      </c>
      <c r="C132" s="208"/>
      <c r="D132" s="208" t="s">
        <v>10</v>
      </c>
      <c r="E132" s="208"/>
      <c r="F132" s="208"/>
      <c r="G132" s="208"/>
      <c r="H132" s="208"/>
      <c r="I132" s="208"/>
      <c r="J132" s="209"/>
      <c r="K132" s="275"/>
      <c r="L132" s="209"/>
      <c r="M132" s="209"/>
      <c r="N132" s="307"/>
      <c r="O132" s="358"/>
      <c r="P132" s="209"/>
      <c r="Q132" s="210"/>
    </row>
    <row r="133" spans="2:17" ht="15.75" thickBot="1" x14ac:dyDescent="0.3">
      <c r="B133" s="199"/>
      <c r="C133" s="200"/>
      <c r="D133" s="148" t="s">
        <v>19</v>
      </c>
      <c r="E133" s="148" t="s">
        <v>20</v>
      </c>
      <c r="F133" s="148" t="s">
        <v>21</v>
      </c>
      <c r="G133" s="148" t="s">
        <v>22</v>
      </c>
      <c r="H133" s="148" t="s">
        <v>23</v>
      </c>
      <c r="I133" s="148" t="s">
        <v>24</v>
      </c>
      <c r="J133" s="148" t="s">
        <v>25</v>
      </c>
      <c r="K133" s="148" t="s">
        <v>26</v>
      </c>
      <c r="L133" s="148" t="s">
        <v>27</v>
      </c>
      <c r="M133" s="148" t="s">
        <v>28</v>
      </c>
      <c r="N133" s="148" t="s">
        <v>29</v>
      </c>
      <c r="O133" s="148" t="s">
        <v>30</v>
      </c>
      <c r="P133" s="212" t="s">
        <v>40</v>
      </c>
      <c r="Q133" s="203"/>
    </row>
    <row r="134" spans="2:17" ht="15.75" thickBot="1" x14ac:dyDescent="0.3">
      <c r="B134" s="201"/>
      <c r="C134" s="202"/>
      <c r="D134" s="148">
        <v>10</v>
      </c>
      <c r="E134" s="148">
        <v>11</v>
      </c>
      <c r="F134" s="148">
        <v>12</v>
      </c>
      <c r="G134" s="148">
        <v>1</v>
      </c>
      <c r="H134" s="148">
        <v>2</v>
      </c>
      <c r="I134" s="148">
        <v>3</v>
      </c>
      <c r="J134" s="148">
        <v>4</v>
      </c>
      <c r="K134" s="148">
        <v>5</v>
      </c>
      <c r="L134" s="148">
        <v>6</v>
      </c>
      <c r="M134" s="148">
        <v>7</v>
      </c>
      <c r="N134" s="148">
        <v>8</v>
      </c>
      <c r="O134" s="148">
        <v>9</v>
      </c>
      <c r="P134" s="213"/>
      <c r="Q134" s="204"/>
    </row>
    <row r="135" spans="2:17" ht="15.75" thickBot="1" x14ac:dyDescent="0.3">
      <c r="B135" s="154" t="str">
        <f>Master!AF7</f>
        <v>AFGHANISTAN</v>
      </c>
      <c r="C135" s="148" t="str">
        <f>Master!AG7</f>
        <v>AF</v>
      </c>
      <c r="D135" s="66">
        <v>0</v>
      </c>
      <c r="E135" s="258">
        <v>0</v>
      </c>
      <c r="F135" s="258">
        <v>2</v>
      </c>
      <c r="G135" s="258">
        <v>0</v>
      </c>
      <c r="H135" s="258">
        <v>1</v>
      </c>
      <c r="I135" s="258">
        <v>0</v>
      </c>
      <c r="J135" s="258">
        <v>0</v>
      </c>
      <c r="K135" s="258">
        <v>0</v>
      </c>
      <c r="L135" s="258">
        <v>0</v>
      </c>
      <c r="M135" s="258">
        <v>5</v>
      </c>
      <c r="N135" s="258">
        <v>12</v>
      </c>
      <c r="O135" s="258">
        <v>0</v>
      </c>
      <c r="P135" s="258">
        <f>SUM(D135:O135)</f>
        <v>20</v>
      </c>
      <c r="Q135" s="154" t="str">
        <f>Master!AF7</f>
        <v>AFGHANISTAN</v>
      </c>
    </row>
    <row r="136" spans="2:17" ht="15.75" thickBot="1" x14ac:dyDescent="0.3">
      <c r="B136" s="154" t="str">
        <f>Master!AF8</f>
        <v>ARMENIA</v>
      </c>
      <c r="C136" s="148" t="str">
        <f>Master!AG8</f>
        <v>AM</v>
      </c>
      <c r="D136" s="258">
        <v>0</v>
      </c>
      <c r="E136" s="258">
        <v>0</v>
      </c>
      <c r="F136" s="258">
        <v>0</v>
      </c>
      <c r="G136" s="258">
        <v>0</v>
      </c>
      <c r="H136" s="258">
        <v>0</v>
      </c>
      <c r="I136" s="258">
        <v>0</v>
      </c>
      <c r="J136" s="258">
        <v>0</v>
      </c>
      <c r="K136" s="258">
        <v>0</v>
      </c>
      <c r="L136" s="258">
        <v>0</v>
      </c>
      <c r="M136" s="258">
        <v>0</v>
      </c>
      <c r="N136" s="258">
        <v>0</v>
      </c>
      <c r="O136" s="258">
        <v>0</v>
      </c>
      <c r="P136" s="258">
        <f t="shared" ref="P136:P193" si="2">SUM(D136:O136)</f>
        <v>0</v>
      </c>
      <c r="Q136" s="154" t="str">
        <f>Master!AF8</f>
        <v>ARMENIA</v>
      </c>
    </row>
    <row r="137" spans="2:17" ht="15.75" thickBot="1" x14ac:dyDescent="0.3">
      <c r="B137" s="154" t="s">
        <v>780</v>
      </c>
      <c r="C137" s="148" t="s">
        <v>333</v>
      </c>
      <c r="D137" s="258">
        <v>0</v>
      </c>
      <c r="E137" s="258">
        <v>0</v>
      </c>
      <c r="F137" s="258">
        <v>0</v>
      </c>
      <c r="G137" s="258">
        <v>0</v>
      </c>
      <c r="H137" s="258">
        <v>0</v>
      </c>
      <c r="I137" s="258">
        <v>0</v>
      </c>
      <c r="J137" s="258">
        <v>0</v>
      </c>
      <c r="K137" s="258">
        <v>0</v>
      </c>
      <c r="L137" s="258">
        <v>0</v>
      </c>
      <c r="M137" s="258">
        <v>0</v>
      </c>
      <c r="N137" s="258">
        <v>0</v>
      </c>
      <c r="O137" s="258">
        <v>0</v>
      </c>
      <c r="P137" s="258">
        <f t="shared" si="2"/>
        <v>0</v>
      </c>
      <c r="Q137" s="154" t="s">
        <v>780</v>
      </c>
    </row>
    <row r="138" spans="2:17" ht="15.75" thickBot="1" x14ac:dyDescent="0.3">
      <c r="B138" s="154" t="str">
        <f>Master!AF10</f>
        <v>BELARUS</v>
      </c>
      <c r="C138" s="148" t="str">
        <f>Master!AG10</f>
        <v>BO</v>
      </c>
      <c r="D138" s="258">
        <v>0</v>
      </c>
      <c r="E138" s="258">
        <v>0</v>
      </c>
      <c r="F138" s="258">
        <v>0</v>
      </c>
      <c r="G138" s="258">
        <v>0</v>
      </c>
      <c r="H138" s="258">
        <v>0</v>
      </c>
      <c r="I138" s="258">
        <v>0</v>
      </c>
      <c r="J138" s="258">
        <v>0</v>
      </c>
      <c r="K138" s="258">
        <v>0</v>
      </c>
      <c r="L138" s="258">
        <v>0</v>
      </c>
      <c r="M138" s="258">
        <v>0</v>
      </c>
      <c r="N138" s="258">
        <v>0</v>
      </c>
      <c r="O138" s="258">
        <v>0</v>
      </c>
      <c r="P138" s="258">
        <f t="shared" si="2"/>
        <v>0</v>
      </c>
      <c r="Q138" s="154" t="str">
        <f>Master!AF10</f>
        <v>BELARUS</v>
      </c>
    </row>
    <row r="139" spans="2:17" ht="15.75" thickBot="1" x14ac:dyDescent="0.3">
      <c r="B139" s="154" t="str">
        <f>Master!AF11</f>
        <v>BURMA</v>
      </c>
      <c r="C139" s="148" t="str">
        <f>Master!AG11</f>
        <v>BM</v>
      </c>
      <c r="D139" s="258">
        <v>6</v>
      </c>
      <c r="E139" s="258">
        <v>0</v>
      </c>
      <c r="F139" s="258">
        <v>0</v>
      </c>
      <c r="G139" s="258">
        <v>0</v>
      </c>
      <c r="H139" s="258">
        <v>0</v>
      </c>
      <c r="I139" s="258">
        <v>0</v>
      </c>
      <c r="J139" s="258">
        <v>0</v>
      </c>
      <c r="K139" s="258">
        <v>0</v>
      </c>
      <c r="L139" s="258">
        <v>0</v>
      </c>
      <c r="M139" s="258">
        <v>0</v>
      </c>
      <c r="N139" s="258">
        <v>0</v>
      </c>
      <c r="O139" s="258">
        <v>1</v>
      </c>
      <c r="P139" s="258">
        <f t="shared" si="2"/>
        <v>7</v>
      </c>
      <c r="Q139" s="154" t="str">
        <f>Master!AF11</f>
        <v>BURMA</v>
      </c>
    </row>
    <row r="140" spans="2:17" ht="15.75" thickBot="1" x14ac:dyDescent="0.3">
      <c r="B140" s="154" t="str">
        <f>Master!AF12</f>
        <v>BHUTAN</v>
      </c>
      <c r="C140" s="148" t="str">
        <f>Master!AG12</f>
        <v>BT</v>
      </c>
      <c r="D140" s="258">
        <v>0</v>
      </c>
      <c r="E140" s="258">
        <v>4</v>
      </c>
      <c r="F140" s="258">
        <v>0</v>
      </c>
      <c r="G140" s="258">
        <v>2</v>
      </c>
      <c r="H140" s="258">
        <v>0</v>
      </c>
      <c r="I140" s="258">
        <v>0</v>
      </c>
      <c r="J140" s="258">
        <v>1</v>
      </c>
      <c r="K140" s="258">
        <v>0</v>
      </c>
      <c r="L140" s="258">
        <v>5</v>
      </c>
      <c r="M140" s="258">
        <v>0</v>
      </c>
      <c r="N140" s="258">
        <v>0</v>
      </c>
      <c r="O140" s="258">
        <v>0</v>
      </c>
      <c r="P140" s="258">
        <f t="shared" si="2"/>
        <v>12</v>
      </c>
      <c r="Q140" s="154" t="str">
        <f>Master!AF12</f>
        <v>BHUTAN</v>
      </c>
    </row>
    <row r="141" spans="2:17" ht="15.75" thickBot="1" x14ac:dyDescent="0.3">
      <c r="B141" s="154" t="s">
        <v>779</v>
      </c>
      <c r="C141" s="148" t="s">
        <v>287</v>
      </c>
      <c r="D141" s="258">
        <v>0</v>
      </c>
      <c r="E141" s="258">
        <v>0</v>
      </c>
      <c r="F141" s="258">
        <v>0</v>
      </c>
      <c r="G141" s="258">
        <v>0</v>
      </c>
      <c r="H141" s="258">
        <v>0</v>
      </c>
      <c r="I141" s="258">
        <v>0</v>
      </c>
      <c r="J141" s="258">
        <v>0</v>
      </c>
      <c r="K141" s="258">
        <v>0</v>
      </c>
      <c r="L141" s="258">
        <v>0</v>
      </c>
      <c r="M141" s="258">
        <v>0</v>
      </c>
      <c r="N141" s="258">
        <v>0</v>
      </c>
      <c r="O141" s="258">
        <v>0</v>
      </c>
      <c r="P141" s="258">
        <f t="shared" si="2"/>
        <v>0</v>
      </c>
      <c r="Q141" s="154" t="s">
        <v>779</v>
      </c>
    </row>
    <row r="142" spans="2:17" ht="15.75" thickBot="1" x14ac:dyDescent="0.3">
      <c r="B142" s="154" t="str">
        <f>Master!AF14</f>
        <v>BURUNDI</v>
      </c>
      <c r="C142" s="148" t="str">
        <f>Master!AG14</f>
        <v>BY</v>
      </c>
      <c r="D142" s="258">
        <v>0</v>
      </c>
      <c r="E142" s="258">
        <v>0</v>
      </c>
      <c r="F142" s="258">
        <v>0</v>
      </c>
      <c r="G142" s="258">
        <v>0</v>
      </c>
      <c r="H142" s="258">
        <v>0</v>
      </c>
      <c r="I142" s="258">
        <v>0</v>
      </c>
      <c r="J142" s="258">
        <v>0</v>
      </c>
      <c r="K142" s="258">
        <v>0</v>
      </c>
      <c r="L142" s="258">
        <v>0</v>
      </c>
      <c r="M142" s="258">
        <v>0</v>
      </c>
      <c r="N142" s="258">
        <v>0</v>
      </c>
      <c r="O142" s="258">
        <v>0</v>
      </c>
      <c r="P142" s="258">
        <f t="shared" si="2"/>
        <v>0</v>
      </c>
      <c r="Q142" s="154" t="str">
        <f>Master!AF14</f>
        <v>BURUNDI</v>
      </c>
    </row>
    <row r="143" spans="2:17" ht="15.75" thickBot="1" x14ac:dyDescent="0.3">
      <c r="B143" s="154" t="str">
        <f>Master!AF15</f>
        <v>CAMEROUN</v>
      </c>
      <c r="C143" s="148" t="str">
        <f>Master!AG15</f>
        <v>CM</v>
      </c>
      <c r="D143" s="258">
        <v>0</v>
      </c>
      <c r="E143" s="258">
        <v>0</v>
      </c>
      <c r="F143" s="258">
        <v>0</v>
      </c>
      <c r="G143" s="258">
        <v>0</v>
      </c>
      <c r="H143" s="258">
        <v>0</v>
      </c>
      <c r="I143" s="258">
        <v>0</v>
      </c>
      <c r="J143" s="258">
        <v>0</v>
      </c>
      <c r="K143" s="258">
        <v>0</v>
      </c>
      <c r="L143" s="258">
        <v>0</v>
      </c>
      <c r="M143" s="258">
        <v>0</v>
      </c>
      <c r="N143" s="258">
        <v>0</v>
      </c>
      <c r="O143" s="258">
        <v>0</v>
      </c>
      <c r="P143" s="258">
        <f t="shared" si="2"/>
        <v>0</v>
      </c>
      <c r="Q143" s="154" t="str">
        <f>Master!AF15</f>
        <v>CAMEROUN</v>
      </c>
    </row>
    <row r="144" spans="2:17" ht="15.75" thickBot="1" x14ac:dyDescent="0.3">
      <c r="B144" s="154" t="str">
        <f>Master!AF16</f>
        <v>CENTRAL AFR REP</v>
      </c>
      <c r="C144" s="148" t="str">
        <f>Master!AG16</f>
        <v>CT</v>
      </c>
      <c r="D144" s="258">
        <v>0</v>
      </c>
      <c r="E144" s="258">
        <v>0</v>
      </c>
      <c r="F144" s="258">
        <v>0</v>
      </c>
      <c r="G144" s="258">
        <v>0</v>
      </c>
      <c r="H144" s="258">
        <v>0</v>
      </c>
      <c r="I144" s="258">
        <v>0</v>
      </c>
      <c r="J144" s="258">
        <v>0</v>
      </c>
      <c r="K144" s="258">
        <v>0</v>
      </c>
      <c r="L144" s="258">
        <v>0</v>
      </c>
      <c r="M144" s="258">
        <v>0</v>
      </c>
      <c r="N144" s="258">
        <v>0</v>
      </c>
      <c r="O144" s="258">
        <v>0</v>
      </c>
      <c r="P144" s="258">
        <f t="shared" si="2"/>
        <v>0</v>
      </c>
      <c r="Q144" s="154" t="str">
        <f>Master!AF16</f>
        <v>CENTRAL AFR REP</v>
      </c>
    </row>
    <row r="145" spans="2:17" ht="15.75" thickBot="1" x14ac:dyDescent="0.3">
      <c r="B145" s="154" t="str">
        <f>Master!AF17</f>
        <v>CHINA</v>
      </c>
      <c r="C145" s="148" t="str">
        <f>Master!AG17</f>
        <v>CH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258">
        <v>0</v>
      </c>
      <c r="L145" s="66">
        <v>0</v>
      </c>
      <c r="M145" s="66">
        <v>0</v>
      </c>
      <c r="N145" s="258">
        <v>0</v>
      </c>
      <c r="O145" s="258">
        <v>0</v>
      </c>
      <c r="P145" s="258">
        <f t="shared" si="2"/>
        <v>0</v>
      </c>
      <c r="Q145" s="154" t="str">
        <f>Master!AF17</f>
        <v>CHINA</v>
      </c>
    </row>
    <row r="146" spans="2:17" ht="15.75" thickBot="1" x14ac:dyDescent="0.3">
      <c r="B146" s="154" t="str">
        <f>Master!AF18</f>
        <v>DEM REP OF CONGO</v>
      </c>
      <c r="C146" s="148" t="str">
        <f>Master!AG18</f>
        <v>CG</v>
      </c>
      <c r="D146" s="66">
        <v>0</v>
      </c>
      <c r="E146" s="66">
        <v>5</v>
      </c>
      <c r="F146" s="66">
        <v>2</v>
      </c>
      <c r="G146" s="66">
        <v>8</v>
      </c>
      <c r="H146" s="66">
        <v>0</v>
      </c>
      <c r="I146" s="66">
        <v>0</v>
      </c>
      <c r="J146" s="66">
        <v>6</v>
      </c>
      <c r="K146" s="258">
        <v>0</v>
      </c>
      <c r="L146" s="66">
        <v>0</v>
      </c>
      <c r="M146" s="66">
        <v>0</v>
      </c>
      <c r="N146" s="258">
        <v>0</v>
      </c>
      <c r="O146" s="258">
        <v>0</v>
      </c>
      <c r="P146" s="258">
        <f t="shared" si="2"/>
        <v>21</v>
      </c>
      <c r="Q146" s="154" t="str">
        <f>Master!AF18</f>
        <v>DEM REP OF CONGO</v>
      </c>
    </row>
    <row r="147" spans="2:17" ht="15.75" thickBot="1" x14ac:dyDescent="0.3">
      <c r="B147" s="154" t="str">
        <f>Master!AF19</f>
        <v>COLUMBIA</v>
      </c>
      <c r="C147" s="148" t="str">
        <f>Master!AG19</f>
        <v>CO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258">
        <v>0</v>
      </c>
      <c r="L147" s="66">
        <v>0</v>
      </c>
      <c r="M147" s="66">
        <v>0</v>
      </c>
      <c r="N147" s="258">
        <v>0</v>
      </c>
      <c r="O147" s="258">
        <v>0</v>
      </c>
      <c r="P147" s="258">
        <f t="shared" si="2"/>
        <v>0</v>
      </c>
      <c r="Q147" s="154" t="str">
        <f>Master!AF19</f>
        <v>COLUMBIA</v>
      </c>
    </row>
    <row r="148" spans="2:17" ht="15.75" thickBot="1" x14ac:dyDescent="0.3">
      <c r="B148" s="154" t="str">
        <f>Master!AF20</f>
        <v>CONGO</v>
      </c>
      <c r="C148" s="148" t="str">
        <f>Master!AG20</f>
        <v>CF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258">
        <v>0</v>
      </c>
      <c r="L148" s="66">
        <v>0</v>
      </c>
      <c r="M148" s="66">
        <v>0</v>
      </c>
      <c r="N148" s="258">
        <v>0</v>
      </c>
      <c r="O148" s="258">
        <v>0</v>
      </c>
      <c r="P148" s="258">
        <f t="shared" si="2"/>
        <v>0</v>
      </c>
      <c r="Q148" s="154" t="str">
        <f>Master!AF20</f>
        <v>CONGO</v>
      </c>
    </row>
    <row r="149" spans="2:17" ht="15.75" thickBot="1" x14ac:dyDescent="0.3">
      <c r="B149" s="154" t="str">
        <f>Master!AF21</f>
        <v>CUBA</v>
      </c>
      <c r="C149" s="148" t="str">
        <f>Master!AG21</f>
        <v>CU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258">
        <v>0</v>
      </c>
      <c r="L149" s="66">
        <v>0</v>
      </c>
      <c r="M149" s="66">
        <v>0</v>
      </c>
      <c r="N149" s="258">
        <v>0</v>
      </c>
      <c r="O149" s="258">
        <v>0</v>
      </c>
      <c r="P149" s="258">
        <f t="shared" si="2"/>
        <v>0</v>
      </c>
      <c r="Q149" s="154" t="str">
        <f>Master!AF21</f>
        <v>CUBA</v>
      </c>
    </row>
    <row r="150" spans="2:17" ht="15.75" thickBot="1" x14ac:dyDescent="0.3">
      <c r="B150" s="154" t="str">
        <f>Master!AF22</f>
        <v>CUBAN ENTRANT</v>
      </c>
      <c r="C150" s="148" t="str">
        <f>Master!AG22</f>
        <v>CUE</v>
      </c>
      <c r="D150" s="66"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66">
        <v>0</v>
      </c>
      <c r="K150" s="258">
        <v>0</v>
      </c>
      <c r="L150" s="66">
        <v>0</v>
      </c>
      <c r="M150" s="66">
        <v>0</v>
      </c>
      <c r="N150" s="258">
        <v>0</v>
      </c>
      <c r="O150" s="258">
        <v>0</v>
      </c>
      <c r="P150" s="258">
        <f t="shared" si="2"/>
        <v>0</v>
      </c>
      <c r="Q150" s="154" t="str">
        <f>Master!AF22</f>
        <v>CUBAN ENTRANT</v>
      </c>
    </row>
    <row r="151" spans="2:17" ht="15.75" thickBot="1" x14ac:dyDescent="0.3">
      <c r="B151" s="154" t="str">
        <f>Master!AF23</f>
        <v>ECUADOR</v>
      </c>
      <c r="C151" s="148" t="str">
        <f>Master!AG23</f>
        <v>EC</v>
      </c>
      <c r="D151" s="66">
        <v>0</v>
      </c>
      <c r="E151" s="66">
        <v>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258">
        <v>0</v>
      </c>
      <c r="L151" s="66">
        <v>0</v>
      </c>
      <c r="M151" s="66">
        <v>0</v>
      </c>
      <c r="N151" s="258">
        <v>0</v>
      </c>
      <c r="O151" s="258">
        <v>0</v>
      </c>
      <c r="P151" s="258">
        <f t="shared" si="2"/>
        <v>0</v>
      </c>
      <c r="Q151" s="154" t="str">
        <f>Master!AF23</f>
        <v>ECUADOR</v>
      </c>
    </row>
    <row r="152" spans="2:17" ht="15.75" thickBot="1" x14ac:dyDescent="0.3">
      <c r="B152" s="154" t="str">
        <f>Master!AF24</f>
        <v>EGYPT</v>
      </c>
      <c r="C152" s="148" t="str">
        <f>Master!AG24</f>
        <v>EG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258">
        <v>0</v>
      </c>
      <c r="L152" s="66">
        <v>0</v>
      </c>
      <c r="M152" s="66">
        <v>0</v>
      </c>
      <c r="N152" s="258">
        <v>0</v>
      </c>
      <c r="O152" s="258">
        <v>0</v>
      </c>
      <c r="P152" s="258">
        <f t="shared" si="2"/>
        <v>0</v>
      </c>
      <c r="Q152" s="154" t="str">
        <f>Master!AF24</f>
        <v>EGYPT</v>
      </c>
    </row>
    <row r="153" spans="2:17" ht="15.75" thickBot="1" x14ac:dyDescent="0.3">
      <c r="B153" s="154" t="str">
        <f>Master!AF25</f>
        <v>ERITREA</v>
      </c>
      <c r="C153" s="148" t="str">
        <f>Master!AG25</f>
        <v>ER</v>
      </c>
      <c r="D153" s="66">
        <v>0</v>
      </c>
      <c r="E153" s="66">
        <v>0</v>
      </c>
      <c r="F153" s="66">
        <v>0</v>
      </c>
      <c r="G153" s="66">
        <v>2</v>
      </c>
      <c r="H153" s="66">
        <v>0</v>
      </c>
      <c r="I153" s="66">
        <v>2</v>
      </c>
      <c r="J153" s="66">
        <v>0</v>
      </c>
      <c r="K153" s="258">
        <v>0</v>
      </c>
      <c r="L153" s="66">
        <v>0</v>
      </c>
      <c r="M153" s="66">
        <v>0</v>
      </c>
      <c r="N153" s="258">
        <v>0</v>
      </c>
      <c r="O153" s="258">
        <v>0</v>
      </c>
      <c r="P153" s="258">
        <f t="shared" si="2"/>
        <v>4</v>
      </c>
      <c r="Q153" s="154" t="str">
        <f>Master!AF25</f>
        <v>ERITREA</v>
      </c>
    </row>
    <row r="154" spans="2:17" ht="15.75" thickBot="1" x14ac:dyDescent="0.3">
      <c r="B154" s="154" t="str">
        <f>Master!AF26</f>
        <v>ETHIOPIA</v>
      </c>
      <c r="C154" s="148" t="str">
        <f>Master!AG26</f>
        <v>ET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258">
        <v>0</v>
      </c>
      <c r="L154" s="66">
        <v>0</v>
      </c>
      <c r="M154" s="66">
        <v>0</v>
      </c>
      <c r="N154" s="258">
        <v>0</v>
      </c>
      <c r="O154" s="258">
        <v>0</v>
      </c>
      <c r="P154" s="258">
        <f t="shared" si="2"/>
        <v>0</v>
      </c>
      <c r="Q154" s="154" t="str">
        <f>Master!AF26</f>
        <v>ETHIOPIA</v>
      </c>
    </row>
    <row r="155" spans="2:17" ht="15.75" thickBot="1" x14ac:dyDescent="0.3">
      <c r="B155" s="154" t="str">
        <f>Master!AF27</f>
        <v>FRANCE</v>
      </c>
      <c r="C155" s="148" t="str">
        <f>Master!AG27</f>
        <v>FR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258">
        <v>0</v>
      </c>
      <c r="L155" s="66">
        <v>0</v>
      </c>
      <c r="M155" s="66">
        <v>0</v>
      </c>
      <c r="N155" s="258">
        <v>0</v>
      </c>
      <c r="O155" s="258">
        <v>0</v>
      </c>
      <c r="P155" s="258">
        <f t="shared" si="2"/>
        <v>0</v>
      </c>
      <c r="Q155" s="154" t="str">
        <f>Master!AF27</f>
        <v>FRANCE</v>
      </c>
    </row>
    <row r="156" spans="2:17" ht="15.75" thickBot="1" x14ac:dyDescent="0.3">
      <c r="B156" s="154" t="str">
        <f>Master!AF28</f>
        <v>GUINEA</v>
      </c>
      <c r="C156" s="148" t="str">
        <f>Master!AG28</f>
        <v>GV</v>
      </c>
      <c r="D156" s="66">
        <v>0</v>
      </c>
      <c r="E156" s="66">
        <v>0</v>
      </c>
      <c r="F156" s="66">
        <v>0</v>
      </c>
      <c r="G156" s="66">
        <v>1</v>
      </c>
      <c r="H156" s="66">
        <v>0</v>
      </c>
      <c r="I156" s="66">
        <v>0</v>
      </c>
      <c r="J156" s="66">
        <v>0</v>
      </c>
      <c r="K156" s="258">
        <v>0</v>
      </c>
      <c r="L156" s="66">
        <v>0</v>
      </c>
      <c r="M156" s="66">
        <v>0</v>
      </c>
      <c r="N156" s="258">
        <v>0</v>
      </c>
      <c r="O156" s="258">
        <v>0</v>
      </c>
      <c r="P156" s="258">
        <f t="shared" si="2"/>
        <v>1</v>
      </c>
      <c r="Q156" s="154" t="str">
        <f>Master!AF28</f>
        <v>GUINEA</v>
      </c>
    </row>
    <row r="157" spans="2:17" ht="15.75" thickBot="1" x14ac:dyDescent="0.3">
      <c r="B157" s="154" t="str">
        <f>Master!AF29</f>
        <v>HAITI</v>
      </c>
      <c r="C157" s="148" t="str">
        <f>Master!AG29</f>
        <v>HA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258">
        <v>0</v>
      </c>
      <c r="L157" s="66">
        <v>0</v>
      </c>
      <c r="M157" s="66">
        <v>0</v>
      </c>
      <c r="N157" s="258">
        <v>0</v>
      </c>
      <c r="O157" s="258">
        <v>0</v>
      </c>
      <c r="P157" s="258">
        <f t="shared" si="2"/>
        <v>0</v>
      </c>
      <c r="Q157" s="154" t="str">
        <f>Master!AF29</f>
        <v>HAITI</v>
      </c>
    </row>
    <row r="158" spans="2:17" ht="15.75" thickBot="1" x14ac:dyDescent="0.3">
      <c r="B158" s="154" t="str">
        <f>Master!AF30</f>
        <v>INDIA</v>
      </c>
      <c r="C158" s="148" t="str">
        <f>Master!AG30</f>
        <v>IN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258">
        <v>0</v>
      </c>
      <c r="L158" s="66">
        <v>0</v>
      </c>
      <c r="M158" s="66">
        <v>0</v>
      </c>
      <c r="N158" s="258">
        <v>0</v>
      </c>
      <c r="O158" s="258">
        <v>0</v>
      </c>
      <c r="P158" s="258">
        <f t="shared" si="2"/>
        <v>0</v>
      </c>
      <c r="Q158" s="154" t="str">
        <f>Master!AF30</f>
        <v>INDIA</v>
      </c>
    </row>
    <row r="159" spans="2:17" ht="15.75" thickBot="1" x14ac:dyDescent="0.3">
      <c r="B159" s="154" t="str">
        <f>Master!AF31</f>
        <v>INDONESIA</v>
      </c>
      <c r="C159" s="148" t="str">
        <f>Master!AG31</f>
        <v>ID</v>
      </c>
      <c r="D159" s="66">
        <v>1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258">
        <v>0</v>
      </c>
      <c r="L159" s="66">
        <v>0</v>
      </c>
      <c r="M159" s="66">
        <v>0</v>
      </c>
      <c r="N159" s="258">
        <v>0</v>
      </c>
      <c r="O159" s="258">
        <v>0</v>
      </c>
      <c r="P159" s="258">
        <f t="shared" si="2"/>
        <v>1</v>
      </c>
      <c r="Q159" s="154" t="str">
        <f>Master!AF31</f>
        <v>INDONESIA</v>
      </c>
    </row>
    <row r="160" spans="2:17" ht="15.75" thickBot="1" x14ac:dyDescent="0.3">
      <c r="B160" s="154" t="str">
        <f>Master!AF32</f>
        <v>IRAN</v>
      </c>
      <c r="C160" s="148" t="str">
        <f>Master!AG32</f>
        <v>IR</v>
      </c>
      <c r="D160" s="66">
        <v>0</v>
      </c>
      <c r="E160" s="66">
        <v>0</v>
      </c>
      <c r="F160" s="66">
        <v>0</v>
      </c>
      <c r="G160" s="66">
        <v>3</v>
      </c>
      <c r="H160" s="66">
        <v>0</v>
      </c>
      <c r="I160" s="66">
        <v>0</v>
      </c>
      <c r="J160" s="66">
        <v>0</v>
      </c>
      <c r="K160" s="258">
        <v>0</v>
      </c>
      <c r="L160" s="66">
        <v>0</v>
      </c>
      <c r="M160" s="66">
        <v>0</v>
      </c>
      <c r="N160" s="258">
        <v>0</v>
      </c>
      <c r="O160" s="258">
        <v>0</v>
      </c>
      <c r="P160" s="258">
        <f t="shared" si="2"/>
        <v>3</v>
      </c>
      <c r="Q160" s="154" t="str">
        <f>Master!AF32</f>
        <v>IRAN</v>
      </c>
    </row>
    <row r="161" spans="2:17" ht="15.75" thickBot="1" x14ac:dyDescent="0.3">
      <c r="B161" s="154" t="str">
        <f>Master!AF33</f>
        <v>IRAQ</v>
      </c>
      <c r="C161" s="148" t="str">
        <f>Master!AG33</f>
        <v>IZ</v>
      </c>
      <c r="D161" s="66">
        <v>0</v>
      </c>
      <c r="E161" s="66">
        <v>0</v>
      </c>
      <c r="F161" s="66">
        <v>0</v>
      </c>
      <c r="G161" s="66">
        <v>0</v>
      </c>
      <c r="H161" s="66">
        <v>1</v>
      </c>
      <c r="I161" s="66">
        <v>0</v>
      </c>
      <c r="J161" s="66">
        <v>0</v>
      </c>
      <c r="K161" s="258">
        <v>0</v>
      </c>
      <c r="L161" s="66">
        <v>7</v>
      </c>
      <c r="M161" s="66">
        <v>0</v>
      </c>
      <c r="N161" s="258">
        <v>0</v>
      </c>
      <c r="O161" s="258">
        <v>0</v>
      </c>
      <c r="P161" s="258">
        <f t="shared" si="2"/>
        <v>8</v>
      </c>
      <c r="Q161" s="154" t="str">
        <f>Master!AF33</f>
        <v>IRAQ</v>
      </c>
    </row>
    <row r="162" spans="2:17" ht="15.75" thickBot="1" x14ac:dyDescent="0.3">
      <c r="B162" s="154" t="str">
        <f>Master!AF34</f>
        <v>IVORY COAST</v>
      </c>
      <c r="C162" s="148" t="str">
        <f>Master!AG34</f>
        <v>IV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258">
        <v>0</v>
      </c>
      <c r="L162" s="66">
        <v>0</v>
      </c>
      <c r="M162" s="66">
        <v>0</v>
      </c>
      <c r="N162" s="258">
        <v>0</v>
      </c>
      <c r="O162" s="258">
        <v>0</v>
      </c>
      <c r="P162" s="258">
        <f t="shared" si="2"/>
        <v>0</v>
      </c>
      <c r="Q162" s="154" t="str">
        <f>Master!AF34</f>
        <v>IVORY COAST</v>
      </c>
    </row>
    <row r="163" spans="2:17" ht="15.75" thickBot="1" x14ac:dyDescent="0.3">
      <c r="B163" s="154" t="str">
        <f>Master!AF35</f>
        <v>JORDAN</v>
      </c>
      <c r="C163" s="148" t="str">
        <f>Master!AG35</f>
        <v>JO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258">
        <v>0</v>
      </c>
      <c r="L163" s="66">
        <v>0</v>
      </c>
      <c r="M163" s="66">
        <v>0</v>
      </c>
      <c r="N163" s="258">
        <v>0</v>
      </c>
      <c r="O163" s="258">
        <v>0</v>
      </c>
      <c r="P163" s="258">
        <f t="shared" si="2"/>
        <v>0</v>
      </c>
      <c r="Q163" s="154" t="str">
        <f>Master!AF35</f>
        <v>JORDAN</v>
      </c>
    </row>
    <row r="164" spans="2:17" ht="15.75" thickBot="1" x14ac:dyDescent="0.3">
      <c r="B164" s="154" t="str">
        <f>Master!AF36</f>
        <v>KAZAKHSTAN</v>
      </c>
      <c r="C164" s="148" t="str">
        <f>Master!AG36</f>
        <v>KZ</v>
      </c>
      <c r="D164" s="66"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258">
        <v>0</v>
      </c>
      <c r="L164" s="66">
        <v>0</v>
      </c>
      <c r="M164" s="66">
        <v>0</v>
      </c>
      <c r="N164" s="258">
        <v>0</v>
      </c>
      <c r="O164" s="258">
        <v>0</v>
      </c>
      <c r="P164" s="258">
        <f t="shared" si="2"/>
        <v>0</v>
      </c>
      <c r="Q164" s="154" t="str">
        <f>Master!AF36</f>
        <v>KAZAKHSTAN</v>
      </c>
    </row>
    <row r="165" spans="2:17" ht="15.75" thickBot="1" x14ac:dyDescent="0.3">
      <c r="B165" s="154" t="str">
        <f>Master!AF37</f>
        <v>KENYA</v>
      </c>
      <c r="C165" s="148" t="str">
        <f>Master!AG37</f>
        <v>KE</v>
      </c>
      <c r="D165" s="66"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258">
        <v>0</v>
      </c>
      <c r="L165" s="66">
        <v>0</v>
      </c>
      <c r="M165" s="66">
        <v>0</v>
      </c>
      <c r="N165" s="258">
        <v>0</v>
      </c>
      <c r="O165" s="258">
        <v>0</v>
      </c>
      <c r="P165" s="258">
        <f t="shared" si="2"/>
        <v>0</v>
      </c>
      <c r="Q165" s="154" t="str">
        <f>Master!AF37</f>
        <v>KENYA</v>
      </c>
    </row>
    <row r="166" spans="2:17" ht="15.75" thickBot="1" x14ac:dyDescent="0.3">
      <c r="B166" s="154" t="str">
        <f>Master!AF38</f>
        <v>LEBANON</v>
      </c>
      <c r="C166" s="148" t="str">
        <f>Master!AG38</f>
        <v>LE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258">
        <v>0</v>
      </c>
      <c r="L166" s="66">
        <v>0</v>
      </c>
      <c r="M166" s="66">
        <v>0</v>
      </c>
      <c r="N166" s="258">
        <v>0</v>
      </c>
      <c r="O166" s="258">
        <v>0</v>
      </c>
      <c r="P166" s="258">
        <f t="shared" si="2"/>
        <v>0</v>
      </c>
      <c r="Q166" s="154" t="str">
        <f>Master!AF38</f>
        <v>LEBANON</v>
      </c>
    </row>
    <row r="167" spans="2:17" ht="15.75" thickBot="1" x14ac:dyDescent="0.3">
      <c r="B167" s="154" t="str">
        <f>Master!AF39</f>
        <v>LIBERIA</v>
      </c>
      <c r="C167" s="148" t="str">
        <f>Master!AG39</f>
        <v>LI</v>
      </c>
      <c r="D167" s="66">
        <v>0</v>
      </c>
      <c r="E167" s="66">
        <v>0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258">
        <v>0</v>
      </c>
      <c r="L167" s="66">
        <v>0</v>
      </c>
      <c r="M167" s="66">
        <v>0</v>
      </c>
      <c r="N167" s="258">
        <v>0</v>
      </c>
      <c r="O167" s="258">
        <v>0</v>
      </c>
      <c r="P167" s="258">
        <f t="shared" si="2"/>
        <v>0</v>
      </c>
      <c r="Q167" s="154" t="str">
        <f>Master!AF39</f>
        <v>LIBERIA</v>
      </c>
    </row>
    <row r="168" spans="2:17" ht="15.75" thickBot="1" x14ac:dyDescent="0.3">
      <c r="B168" s="154" t="str">
        <f>Master!AF40</f>
        <v>LIBYA</v>
      </c>
      <c r="C168" s="148" t="str">
        <f>Master!AG40</f>
        <v>LY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258">
        <v>0</v>
      </c>
      <c r="L168" s="66">
        <v>0</v>
      </c>
      <c r="M168" s="66">
        <v>0</v>
      </c>
      <c r="N168" s="258">
        <v>0</v>
      </c>
      <c r="O168" s="258">
        <v>0</v>
      </c>
      <c r="P168" s="258">
        <f t="shared" si="2"/>
        <v>0</v>
      </c>
      <c r="Q168" s="154" t="str">
        <f>Master!AF40</f>
        <v>LIBYA</v>
      </c>
    </row>
    <row r="169" spans="2:17" ht="15.75" thickBot="1" x14ac:dyDescent="0.3">
      <c r="B169" s="154" t="str">
        <f>Master!AF41</f>
        <v>MOLDOVA</v>
      </c>
      <c r="C169" s="148" t="str">
        <f>Master!AG41</f>
        <v>MD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258">
        <v>0</v>
      </c>
      <c r="L169" s="66">
        <v>0</v>
      </c>
      <c r="M169" s="66">
        <v>0</v>
      </c>
      <c r="N169" s="258">
        <v>0</v>
      </c>
      <c r="O169" s="258">
        <v>0</v>
      </c>
      <c r="P169" s="258">
        <f t="shared" si="2"/>
        <v>0</v>
      </c>
      <c r="Q169" s="154" t="str">
        <f>Master!AF41</f>
        <v>MOLDOVA</v>
      </c>
    </row>
    <row r="170" spans="2:17" ht="15.75" thickBot="1" x14ac:dyDescent="0.3">
      <c r="B170" s="154" t="str">
        <f>Master!AF42</f>
        <v>MALI</v>
      </c>
      <c r="C170" s="148" t="str">
        <f>Master!AG42</f>
        <v>ML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258">
        <v>0</v>
      </c>
      <c r="L170" s="66">
        <v>0</v>
      </c>
      <c r="M170" s="66">
        <v>0</v>
      </c>
      <c r="N170" s="258">
        <v>0</v>
      </c>
      <c r="O170" s="258">
        <v>0</v>
      </c>
      <c r="P170" s="258">
        <f t="shared" si="2"/>
        <v>0</v>
      </c>
      <c r="Q170" s="154" t="str">
        <f>Master!AF42</f>
        <v>MALI</v>
      </c>
    </row>
    <row r="171" spans="2:17" ht="15.75" thickBot="1" x14ac:dyDescent="0.3">
      <c r="B171" s="154" t="str">
        <f>Master!AF43</f>
        <v>MALAYSIA</v>
      </c>
      <c r="C171" s="148" t="str">
        <f>Master!AG43</f>
        <v>MY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258">
        <v>0</v>
      </c>
      <c r="L171" s="66">
        <v>0</v>
      </c>
      <c r="M171" s="66">
        <v>0</v>
      </c>
      <c r="N171" s="258">
        <v>0</v>
      </c>
      <c r="O171" s="258">
        <v>0</v>
      </c>
      <c r="P171" s="258">
        <f t="shared" si="2"/>
        <v>0</v>
      </c>
      <c r="Q171" s="154" t="str">
        <f>Master!AF43</f>
        <v>MALAYSIA</v>
      </c>
    </row>
    <row r="172" spans="2:17" ht="15.75" thickBot="1" x14ac:dyDescent="0.3">
      <c r="B172" s="154" t="str">
        <f>Master!AF44</f>
        <v>NAMIBIA</v>
      </c>
      <c r="C172" s="148" t="str">
        <f>Master!AG44</f>
        <v>WA</v>
      </c>
      <c r="D172" s="66">
        <v>0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258">
        <v>0</v>
      </c>
      <c r="L172" s="66">
        <v>0</v>
      </c>
      <c r="M172" s="66">
        <v>0</v>
      </c>
      <c r="N172" s="258">
        <v>0</v>
      </c>
      <c r="O172" s="258">
        <v>0</v>
      </c>
      <c r="P172" s="258">
        <f t="shared" si="2"/>
        <v>0</v>
      </c>
      <c r="Q172" s="154" t="str">
        <f>Master!AF44</f>
        <v>NAMIBIA</v>
      </c>
    </row>
    <row r="173" spans="2:17" ht="15.75" thickBot="1" x14ac:dyDescent="0.3">
      <c r="B173" s="154" t="str">
        <f>Master!AF45</f>
        <v>NEPAL</v>
      </c>
      <c r="C173" s="148" t="str">
        <f>Master!AG45</f>
        <v>NP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258">
        <v>0</v>
      </c>
      <c r="L173" s="66">
        <v>0</v>
      </c>
      <c r="M173" s="66">
        <v>0</v>
      </c>
      <c r="N173" s="258">
        <v>0</v>
      </c>
      <c r="O173" s="258">
        <v>0</v>
      </c>
      <c r="P173" s="258">
        <f t="shared" si="2"/>
        <v>0</v>
      </c>
      <c r="Q173" s="154" t="str">
        <f>Master!AF45</f>
        <v>NEPAL</v>
      </c>
    </row>
    <row r="174" spans="2:17" ht="15.75" thickBot="1" x14ac:dyDescent="0.3">
      <c r="B174" s="154" t="str">
        <f>Master!AF46</f>
        <v>NIGERIA</v>
      </c>
      <c r="C174" s="148" t="str">
        <f>Master!AG46</f>
        <v>NI</v>
      </c>
      <c r="D174" s="258">
        <v>0</v>
      </c>
      <c r="E174" s="258">
        <v>0</v>
      </c>
      <c r="F174" s="258">
        <v>0</v>
      </c>
      <c r="G174" s="258">
        <v>0</v>
      </c>
      <c r="H174" s="258">
        <v>0</v>
      </c>
      <c r="I174" s="258">
        <v>0</v>
      </c>
      <c r="J174" s="258">
        <v>0</v>
      </c>
      <c r="K174" s="258">
        <v>0</v>
      </c>
      <c r="L174" s="258">
        <v>0</v>
      </c>
      <c r="M174" s="258">
        <v>0</v>
      </c>
      <c r="N174" s="258">
        <v>0</v>
      </c>
      <c r="O174" s="258">
        <v>0</v>
      </c>
      <c r="P174" s="258">
        <f t="shared" si="2"/>
        <v>0</v>
      </c>
      <c r="Q174" s="154" t="str">
        <f>Master!AF46</f>
        <v>NIGERIA</v>
      </c>
    </row>
    <row r="175" spans="2:17" ht="15.75" thickBot="1" x14ac:dyDescent="0.3">
      <c r="B175" s="154" t="str">
        <f>Master!AF47</f>
        <v>PAKISTAN</v>
      </c>
      <c r="C175" s="148" t="str">
        <f>Master!AG47</f>
        <v>PK</v>
      </c>
      <c r="D175" s="66">
        <v>2</v>
      </c>
      <c r="E175" s="66">
        <v>2</v>
      </c>
      <c r="F175" s="66">
        <v>0</v>
      </c>
      <c r="G175" s="66">
        <v>0</v>
      </c>
      <c r="H175" s="66">
        <v>0</v>
      </c>
      <c r="I175" s="66">
        <v>0</v>
      </c>
      <c r="J175" s="66">
        <v>6</v>
      </c>
      <c r="K175" s="258">
        <v>0</v>
      </c>
      <c r="L175" s="66">
        <v>0</v>
      </c>
      <c r="M175" s="66">
        <v>0</v>
      </c>
      <c r="N175" s="258">
        <v>0</v>
      </c>
      <c r="O175" s="258">
        <v>0</v>
      </c>
      <c r="P175" s="258">
        <f t="shared" si="2"/>
        <v>10</v>
      </c>
      <c r="Q175" s="154" t="str">
        <f>Master!AF47</f>
        <v>PAKISTAN</v>
      </c>
    </row>
    <row r="176" spans="2:17" ht="15.75" thickBot="1" x14ac:dyDescent="0.3">
      <c r="B176" s="154" t="str">
        <f>Master!AF48</f>
        <v>PITCAIRN ISLANDS</v>
      </c>
      <c r="C176" s="148" t="str">
        <f>Master!AG48</f>
        <v>PN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258">
        <v>0</v>
      </c>
      <c r="L176" s="66">
        <v>0</v>
      </c>
      <c r="M176" s="66">
        <v>0</v>
      </c>
      <c r="N176" s="258">
        <v>0</v>
      </c>
      <c r="O176" s="258">
        <v>0</v>
      </c>
      <c r="P176" s="258">
        <f t="shared" si="2"/>
        <v>0</v>
      </c>
      <c r="Q176" s="154" t="str">
        <f>Master!AF48</f>
        <v>PITCAIRN ISLANDS</v>
      </c>
    </row>
    <row r="177" spans="2:17" ht="15.75" thickBot="1" x14ac:dyDescent="0.3">
      <c r="B177" s="154" t="str">
        <f>Master!AF49</f>
        <v>RWANDA</v>
      </c>
      <c r="C177" s="148" t="str">
        <f>Master!AG49</f>
        <v>RW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258">
        <v>0</v>
      </c>
      <c r="L177" s="66">
        <v>1</v>
      </c>
      <c r="M177" s="66">
        <v>0</v>
      </c>
      <c r="N177" s="258">
        <v>0</v>
      </c>
      <c r="O177" s="258">
        <v>0</v>
      </c>
      <c r="P177" s="258">
        <f t="shared" si="2"/>
        <v>1</v>
      </c>
      <c r="Q177" s="154" t="str">
        <f>Master!AF49</f>
        <v>RWANDA</v>
      </c>
    </row>
    <row r="178" spans="2:17" ht="15.75" thickBot="1" x14ac:dyDescent="0.3">
      <c r="B178" s="154" t="str">
        <f>Master!AF50</f>
        <v>RUSSIA</v>
      </c>
      <c r="C178" s="148" t="str">
        <f>Master!AG50</f>
        <v>RS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258">
        <v>0</v>
      </c>
      <c r="L178" s="66">
        <v>0</v>
      </c>
      <c r="M178" s="66">
        <v>0</v>
      </c>
      <c r="N178" s="258">
        <v>0</v>
      </c>
      <c r="O178" s="258">
        <v>0</v>
      </c>
      <c r="P178" s="258">
        <f t="shared" si="2"/>
        <v>0</v>
      </c>
      <c r="Q178" s="154" t="str">
        <f>Master!AF50</f>
        <v>RUSSIA</v>
      </c>
    </row>
    <row r="179" spans="2:17" ht="15.75" thickBot="1" x14ac:dyDescent="0.3">
      <c r="B179" s="154" t="str">
        <f>Master!AF51</f>
        <v>SIERRA LEON</v>
      </c>
      <c r="C179" s="148" t="str">
        <f>Master!AG51</f>
        <v>SL</v>
      </c>
      <c r="D179" s="66"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258">
        <v>0</v>
      </c>
      <c r="L179" s="66">
        <v>0</v>
      </c>
      <c r="M179" s="66">
        <v>0</v>
      </c>
      <c r="N179" s="258">
        <v>0</v>
      </c>
      <c r="O179" s="258">
        <v>0</v>
      </c>
      <c r="P179" s="258">
        <f t="shared" si="2"/>
        <v>0</v>
      </c>
      <c r="Q179" s="154" t="str">
        <f>Master!AF51</f>
        <v>SIERRA LEON</v>
      </c>
    </row>
    <row r="180" spans="2:17" ht="15.75" thickBot="1" x14ac:dyDescent="0.3">
      <c r="B180" s="154" t="str">
        <f>Master!AF52</f>
        <v>SOMALIA</v>
      </c>
      <c r="C180" s="148" t="str">
        <f>Master!AG52</f>
        <v>SO</v>
      </c>
      <c r="D180" s="66">
        <v>0</v>
      </c>
      <c r="E180" s="66">
        <v>0</v>
      </c>
      <c r="F180" s="66">
        <v>2</v>
      </c>
      <c r="G180" s="66">
        <v>0</v>
      </c>
      <c r="H180" s="66">
        <v>0</v>
      </c>
      <c r="I180" s="66">
        <v>1</v>
      </c>
      <c r="J180" s="66">
        <v>0</v>
      </c>
      <c r="K180" s="258">
        <v>0</v>
      </c>
      <c r="L180" s="66">
        <v>0</v>
      </c>
      <c r="M180" s="66">
        <v>0</v>
      </c>
      <c r="N180" s="258">
        <v>0</v>
      </c>
      <c r="O180" s="258">
        <v>0</v>
      </c>
      <c r="P180" s="258">
        <f t="shared" si="2"/>
        <v>3</v>
      </c>
      <c r="Q180" s="154" t="str">
        <f>Master!AF52</f>
        <v>SOMALIA</v>
      </c>
    </row>
    <row r="181" spans="2:17" ht="15.75" thickBot="1" x14ac:dyDescent="0.3">
      <c r="B181" s="154" t="str">
        <f>Master!AF53</f>
        <v>SPAIN</v>
      </c>
      <c r="C181" s="148" t="str">
        <f>Master!AG53</f>
        <v>ES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258">
        <v>0</v>
      </c>
      <c r="L181" s="66">
        <v>0</v>
      </c>
      <c r="M181" s="66">
        <v>0</v>
      </c>
      <c r="N181" s="258">
        <v>0</v>
      </c>
      <c r="O181" s="258">
        <v>0</v>
      </c>
      <c r="P181" s="258">
        <f t="shared" si="2"/>
        <v>0</v>
      </c>
      <c r="Q181" s="154" t="str">
        <f>Master!AF53</f>
        <v>SPAIN</v>
      </c>
    </row>
    <row r="182" spans="2:17" ht="13.5" customHeight="1" thickBot="1" x14ac:dyDescent="0.3">
      <c r="B182" s="154" t="str">
        <f>Master!AF54</f>
        <v>SOUTH SUDAN</v>
      </c>
      <c r="C182" s="148" t="str">
        <f>Master!AG54</f>
        <v>SS</v>
      </c>
      <c r="D182" s="66">
        <v>0</v>
      </c>
      <c r="E182" s="66">
        <v>0</v>
      </c>
      <c r="F182" s="66">
        <v>0</v>
      </c>
      <c r="G182" s="66">
        <v>0</v>
      </c>
      <c r="H182" s="66">
        <v>0</v>
      </c>
      <c r="I182" s="66">
        <v>0</v>
      </c>
      <c r="J182" s="66">
        <v>0</v>
      </c>
      <c r="K182" s="258">
        <v>0</v>
      </c>
      <c r="L182" s="66">
        <v>0</v>
      </c>
      <c r="M182" s="66">
        <v>0</v>
      </c>
      <c r="N182" s="258">
        <v>0</v>
      </c>
      <c r="O182" s="258">
        <v>0</v>
      </c>
      <c r="P182" s="258">
        <f t="shared" si="2"/>
        <v>0</v>
      </c>
      <c r="Q182" s="154" t="str">
        <f>Master!AF54</f>
        <v>SOUTH SUDAN</v>
      </c>
    </row>
    <row r="183" spans="2:17" ht="15.75" thickBot="1" x14ac:dyDescent="0.3">
      <c r="B183" s="154" t="str">
        <f>Master!AF55</f>
        <v>SRI LANKA</v>
      </c>
      <c r="C183" s="148" t="str">
        <f>Master!AG55</f>
        <v>CE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258">
        <v>0</v>
      </c>
      <c r="L183" s="66">
        <v>0</v>
      </c>
      <c r="M183" s="66">
        <v>0</v>
      </c>
      <c r="N183" s="258">
        <v>0</v>
      </c>
      <c r="O183" s="258">
        <v>0</v>
      </c>
      <c r="P183" s="258">
        <f t="shared" si="2"/>
        <v>0</v>
      </c>
      <c r="Q183" s="154" t="str">
        <f>Master!AF55</f>
        <v>SRI LANKA</v>
      </c>
    </row>
    <row r="184" spans="2:17" ht="15.75" thickBot="1" x14ac:dyDescent="0.3">
      <c r="B184" s="154" t="str">
        <f>Master!AF56</f>
        <v>SUDAN</v>
      </c>
      <c r="C184" s="148" t="str">
        <f>Master!AG56</f>
        <v>SU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258">
        <v>0</v>
      </c>
      <c r="L184" s="66">
        <v>0</v>
      </c>
      <c r="M184" s="66">
        <v>0</v>
      </c>
      <c r="N184" s="258">
        <v>0</v>
      </c>
      <c r="O184" s="258">
        <v>0</v>
      </c>
      <c r="P184" s="258">
        <f t="shared" si="2"/>
        <v>0</v>
      </c>
      <c r="Q184" s="154" t="str">
        <f>Master!AF56</f>
        <v>SUDAN</v>
      </c>
    </row>
    <row r="185" spans="2:17" ht="15.75" thickBot="1" x14ac:dyDescent="0.3">
      <c r="B185" s="154" t="str">
        <f>Master!AF57</f>
        <v>SYRIA</v>
      </c>
      <c r="C185" s="148" t="str">
        <f>Master!AG57</f>
        <v>SY</v>
      </c>
      <c r="D185" s="66">
        <v>7</v>
      </c>
      <c r="E185" s="66">
        <v>4</v>
      </c>
      <c r="F185" s="66">
        <v>10</v>
      </c>
      <c r="G185" s="66">
        <v>3</v>
      </c>
      <c r="H185" s="66">
        <v>0</v>
      </c>
      <c r="I185" s="66">
        <v>0</v>
      </c>
      <c r="J185" s="66">
        <v>0</v>
      </c>
      <c r="K185" s="258">
        <v>0</v>
      </c>
      <c r="L185" s="66">
        <v>0</v>
      </c>
      <c r="M185" s="66">
        <v>0</v>
      </c>
      <c r="N185" s="258">
        <v>0</v>
      </c>
      <c r="O185" s="258">
        <v>0</v>
      </c>
      <c r="P185" s="258">
        <f t="shared" si="2"/>
        <v>24</v>
      </c>
      <c r="Q185" s="154" t="str">
        <f>Master!AF57</f>
        <v>SYRIA</v>
      </c>
    </row>
    <row r="186" spans="2:17" ht="15.75" thickBot="1" x14ac:dyDescent="0.3">
      <c r="B186" s="154" t="str">
        <f>Master!AF58</f>
        <v>TAJIKISTAN</v>
      </c>
      <c r="C186" s="148" t="str">
        <f>Master!AG58</f>
        <v>TI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258">
        <v>0</v>
      </c>
      <c r="L186" s="66">
        <v>0</v>
      </c>
      <c r="M186" s="66">
        <v>0</v>
      </c>
      <c r="N186" s="258">
        <v>0</v>
      </c>
      <c r="O186" s="258">
        <v>0</v>
      </c>
      <c r="P186" s="258">
        <f t="shared" si="2"/>
        <v>0</v>
      </c>
      <c r="Q186" s="154" t="str">
        <f>Master!AF58</f>
        <v>TAJIKISTAN</v>
      </c>
    </row>
    <row r="187" spans="2:17" ht="15.75" thickBot="1" x14ac:dyDescent="0.3">
      <c r="B187" s="154" t="str">
        <f>Master!AF59</f>
        <v>TANZANIA</v>
      </c>
      <c r="C187" s="148" t="str">
        <f>Master!AG59</f>
        <v>TZ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258">
        <v>0</v>
      </c>
      <c r="L187" s="66">
        <v>0</v>
      </c>
      <c r="M187" s="66">
        <v>0</v>
      </c>
      <c r="N187" s="258">
        <v>0</v>
      </c>
      <c r="O187" s="258">
        <v>0</v>
      </c>
      <c r="P187" s="258">
        <f t="shared" si="2"/>
        <v>0</v>
      </c>
      <c r="Q187" s="154" t="str">
        <f>Master!AF59</f>
        <v>TANZANIA</v>
      </c>
    </row>
    <row r="188" spans="2:17" ht="15.75" thickBot="1" x14ac:dyDescent="0.3">
      <c r="B188" s="154" t="str">
        <f>Master!AF60</f>
        <v>THAILAND</v>
      </c>
      <c r="C188" s="148" t="str">
        <f>Master!AG60</f>
        <v>TH</v>
      </c>
      <c r="D188" s="66">
        <v>0</v>
      </c>
      <c r="E188" s="66">
        <v>0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258">
        <v>0</v>
      </c>
      <c r="L188" s="66">
        <v>0</v>
      </c>
      <c r="M188" s="66">
        <v>0</v>
      </c>
      <c r="N188" s="258">
        <v>0</v>
      </c>
      <c r="O188" s="258">
        <v>0</v>
      </c>
      <c r="P188" s="258">
        <f t="shared" si="2"/>
        <v>0</v>
      </c>
      <c r="Q188" s="154" t="str">
        <f>Master!AF60</f>
        <v>THAILAND</v>
      </c>
    </row>
    <row r="189" spans="2:17" ht="15.75" thickBot="1" x14ac:dyDescent="0.3">
      <c r="B189" s="154" t="str">
        <f>Master!AF61</f>
        <v>UGANDA</v>
      </c>
      <c r="C189" s="148" t="str">
        <f>Master!AG61</f>
        <v>UG</v>
      </c>
      <c r="D189" s="66"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66">
        <v>0</v>
      </c>
      <c r="K189" s="258">
        <v>0</v>
      </c>
      <c r="L189" s="66">
        <v>0</v>
      </c>
      <c r="M189" s="66">
        <v>0</v>
      </c>
      <c r="N189" s="258">
        <v>0</v>
      </c>
      <c r="O189" s="258">
        <v>0</v>
      </c>
      <c r="P189" s="258">
        <f t="shared" si="2"/>
        <v>0</v>
      </c>
      <c r="Q189" s="154" t="str">
        <f>Master!AF61</f>
        <v>UGANDA</v>
      </c>
    </row>
    <row r="190" spans="2:17" ht="15.75" thickBot="1" x14ac:dyDescent="0.3">
      <c r="B190" s="154" t="str">
        <f>Master!AF62</f>
        <v>UKRAINE</v>
      </c>
      <c r="C190" s="148" t="str">
        <f>Master!AG62</f>
        <v>UP</v>
      </c>
      <c r="D190" s="66">
        <v>0</v>
      </c>
      <c r="E190" s="66">
        <v>0</v>
      </c>
      <c r="F190" s="66">
        <v>2</v>
      </c>
      <c r="G190" s="66">
        <v>0</v>
      </c>
      <c r="H190" s="66">
        <v>0</v>
      </c>
      <c r="I190" s="66">
        <v>0</v>
      </c>
      <c r="J190" s="66">
        <v>0</v>
      </c>
      <c r="K190" s="258">
        <v>8</v>
      </c>
      <c r="L190" s="66">
        <v>3</v>
      </c>
      <c r="M190" s="66">
        <v>0</v>
      </c>
      <c r="N190" s="258">
        <v>0</v>
      </c>
      <c r="O190" s="258">
        <v>0</v>
      </c>
      <c r="P190" s="258">
        <f t="shared" si="2"/>
        <v>13</v>
      </c>
      <c r="Q190" s="154" t="str">
        <f>Master!AF62</f>
        <v>UKRAINE</v>
      </c>
    </row>
    <row r="191" spans="2:17" ht="15.75" thickBot="1" x14ac:dyDescent="0.3">
      <c r="B191" s="154" t="str">
        <f>Master!AF63</f>
        <v>UZBEKISTAN</v>
      </c>
      <c r="C191" s="148" t="str">
        <f>Master!AG63</f>
        <v>UZ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258">
        <v>0</v>
      </c>
      <c r="L191" s="66">
        <v>0</v>
      </c>
      <c r="M191" s="66">
        <v>0</v>
      </c>
      <c r="N191" s="258">
        <v>0</v>
      </c>
      <c r="O191" s="258">
        <v>0</v>
      </c>
      <c r="P191" s="258">
        <f t="shared" si="2"/>
        <v>0</v>
      </c>
      <c r="Q191" s="154" t="str">
        <f>Master!AF63</f>
        <v>UZBEKISTAN</v>
      </c>
    </row>
    <row r="192" spans="2:17" ht="15.75" thickBot="1" x14ac:dyDescent="0.3">
      <c r="B192" s="154" t="str">
        <f>Master!AF64</f>
        <v>VIETNAM</v>
      </c>
      <c r="C192" s="148" t="str">
        <f>Master!AG64</f>
        <v>VM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258">
        <v>0</v>
      </c>
      <c r="L192" s="66">
        <v>0</v>
      </c>
      <c r="M192" s="66">
        <v>0</v>
      </c>
      <c r="N192" s="258">
        <v>0</v>
      </c>
      <c r="O192" s="258">
        <v>0</v>
      </c>
      <c r="P192" s="258">
        <f t="shared" si="2"/>
        <v>0</v>
      </c>
      <c r="Q192" s="154" t="str">
        <f>Master!AF64</f>
        <v>VIETNAM</v>
      </c>
    </row>
    <row r="193" spans="2:17" ht="15.75" thickBot="1" x14ac:dyDescent="0.3">
      <c r="B193" s="154" t="str">
        <f>Master!AF65</f>
        <v>ZAMBIA</v>
      </c>
      <c r="C193" s="148" t="str">
        <f>Master!AG65</f>
        <v>ZA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258">
        <v>0</v>
      </c>
      <c r="L193" s="66">
        <v>0</v>
      </c>
      <c r="M193" s="66">
        <v>0</v>
      </c>
      <c r="N193" s="258">
        <v>0</v>
      </c>
      <c r="O193" s="258">
        <v>0</v>
      </c>
      <c r="P193" s="258">
        <f t="shared" si="2"/>
        <v>0</v>
      </c>
      <c r="Q193" s="154" t="str">
        <f>Master!AF65</f>
        <v>ZAMBIA</v>
      </c>
    </row>
    <row r="194" spans="2:17" ht="15.75" thickBot="1" x14ac:dyDescent="0.3">
      <c r="B194" s="154"/>
      <c r="C194" s="148"/>
      <c r="D194" s="66"/>
      <c r="E194" s="66"/>
      <c r="F194" s="66"/>
      <c r="G194" s="66"/>
      <c r="H194" s="66"/>
      <c r="I194" s="66"/>
      <c r="J194" s="66"/>
      <c r="K194" s="258"/>
      <c r="L194" s="66"/>
      <c r="M194" s="66"/>
      <c r="N194" s="258"/>
      <c r="O194" s="258"/>
      <c r="P194" s="258">
        <f>SUM(D194:O194)</f>
        <v>0</v>
      </c>
      <c r="Q194" s="154"/>
    </row>
    <row r="195" spans="2:17" ht="15.75" thickBot="1" x14ac:dyDescent="0.3">
      <c r="B195" s="205" t="s">
        <v>53</v>
      </c>
      <c r="C195" s="206"/>
      <c r="D195" s="23">
        <f>SUM(D135:D194)</f>
        <v>16</v>
      </c>
      <c r="E195" s="23">
        <f>SUM(E135:E194)</f>
        <v>15</v>
      </c>
      <c r="F195" s="23">
        <v>18</v>
      </c>
      <c r="G195" s="23">
        <v>19</v>
      </c>
      <c r="H195" s="23">
        <v>2</v>
      </c>
      <c r="I195" s="23">
        <v>3</v>
      </c>
      <c r="J195" s="23">
        <v>13</v>
      </c>
      <c r="K195" s="249">
        <v>8</v>
      </c>
      <c r="L195" s="23">
        <v>16</v>
      </c>
      <c r="M195" s="23">
        <v>5</v>
      </c>
      <c r="N195" s="249">
        <v>12</v>
      </c>
      <c r="O195" s="249">
        <v>1</v>
      </c>
      <c r="P195" s="249">
        <f>SUM(D195:O195)</f>
        <v>128</v>
      </c>
      <c r="Q195" s="24" t="s">
        <v>53</v>
      </c>
    </row>
    <row r="196" spans="2:17" ht="15.75" thickBot="1" x14ac:dyDescent="0.3">
      <c r="K196" s="263"/>
      <c r="N196" s="263"/>
      <c r="O196" s="263"/>
    </row>
    <row r="197" spans="2:17" ht="15.75" thickBot="1" x14ac:dyDescent="0.3">
      <c r="B197" s="207" t="s">
        <v>5</v>
      </c>
      <c r="C197" s="208"/>
      <c r="D197" s="208" t="s">
        <v>10</v>
      </c>
      <c r="E197" s="208"/>
      <c r="F197" s="208"/>
      <c r="G197" s="208"/>
      <c r="H197" s="208"/>
      <c r="I197" s="208"/>
      <c r="J197" s="209"/>
      <c r="K197" s="275"/>
      <c r="L197" s="209"/>
      <c r="M197" s="209"/>
      <c r="N197" s="307"/>
      <c r="O197" s="358"/>
      <c r="P197" s="209"/>
      <c r="Q197" s="210"/>
    </row>
    <row r="198" spans="2:17" ht="15.75" thickBot="1" x14ac:dyDescent="0.3">
      <c r="B198" s="199"/>
      <c r="C198" s="200"/>
      <c r="D198" s="148" t="s">
        <v>19</v>
      </c>
      <c r="E198" s="148" t="s">
        <v>20</v>
      </c>
      <c r="F198" s="148" t="s">
        <v>21</v>
      </c>
      <c r="G198" s="148" t="s">
        <v>22</v>
      </c>
      <c r="H198" s="148" t="s">
        <v>23</v>
      </c>
      <c r="I198" s="148" t="s">
        <v>24</v>
      </c>
      <c r="J198" s="148" t="s">
        <v>25</v>
      </c>
      <c r="K198" s="148" t="s">
        <v>26</v>
      </c>
      <c r="L198" s="148" t="s">
        <v>27</v>
      </c>
      <c r="M198" s="148" t="s">
        <v>28</v>
      </c>
      <c r="N198" s="148" t="s">
        <v>29</v>
      </c>
      <c r="O198" s="148" t="s">
        <v>30</v>
      </c>
      <c r="P198" s="212" t="s">
        <v>40</v>
      </c>
      <c r="Q198" s="203"/>
    </row>
    <row r="199" spans="2:17" ht="15.75" thickBot="1" x14ac:dyDescent="0.3">
      <c r="B199" s="201"/>
      <c r="C199" s="202"/>
      <c r="D199" s="148">
        <v>10</v>
      </c>
      <c r="E199" s="148">
        <v>11</v>
      </c>
      <c r="F199" s="148">
        <v>12</v>
      </c>
      <c r="G199" s="148">
        <v>1</v>
      </c>
      <c r="H199" s="148">
        <v>2</v>
      </c>
      <c r="I199" s="148">
        <v>3</v>
      </c>
      <c r="J199" s="148">
        <v>4</v>
      </c>
      <c r="K199" s="148">
        <v>5</v>
      </c>
      <c r="L199" s="148">
        <v>6</v>
      </c>
      <c r="M199" s="148">
        <v>7</v>
      </c>
      <c r="N199" s="148">
        <v>8</v>
      </c>
      <c r="O199" s="148">
        <v>9</v>
      </c>
      <c r="P199" s="213"/>
      <c r="Q199" s="204"/>
    </row>
    <row r="200" spans="2:17" ht="15.75" thickBot="1" x14ac:dyDescent="0.3">
      <c r="B200" s="154" t="str">
        <f>Master!AF7</f>
        <v>AFGHANISTAN</v>
      </c>
      <c r="C200" s="148" t="str">
        <f>Master!AG7</f>
        <v>AF</v>
      </c>
      <c r="D200" s="66">
        <v>5</v>
      </c>
      <c r="E200" s="258">
        <v>0</v>
      </c>
      <c r="F200" s="258">
        <v>7</v>
      </c>
      <c r="G200" s="258">
        <v>12</v>
      </c>
      <c r="H200" s="258">
        <v>16</v>
      </c>
      <c r="I200" s="258">
        <v>1</v>
      </c>
      <c r="J200" s="258">
        <v>3</v>
      </c>
      <c r="K200" s="258">
        <v>0</v>
      </c>
      <c r="L200" s="258">
        <v>5</v>
      </c>
      <c r="M200" s="258">
        <v>2</v>
      </c>
      <c r="N200" s="258">
        <v>6</v>
      </c>
      <c r="O200" s="258">
        <v>7</v>
      </c>
      <c r="P200" s="258">
        <f>SUM(D200:O200)</f>
        <v>64</v>
      </c>
      <c r="Q200" s="154" t="str">
        <f>Master!AF7</f>
        <v>AFGHANISTAN</v>
      </c>
    </row>
    <row r="201" spans="2:17" ht="15.75" thickBot="1" x14ac:dyDescent="0.3">
      <c r="B201" s="154" t="str">
        <f>Master!AF8</f>
        <v>ARMENIA</v>
      </c>
      <c r="C201" s="148" t="str">
        <f>Master!AG8</f>
        <v>AM</v>
      </c>
      <c r="D201" s="258">
        <v>0</v>
      </c>
      <c r="E201" s="258">
        <v>0</v>
      </c>
      <c r="F201" s="258">
        <v>0</v>
      </c>
      <c r="G201" s="258">
        <v>0</v>
      </c>
      <c r="H201" s="258">
        <v>0</v>
      </c>
      <c r="I201" s="258">
        <v>0</v>
      </c>
      <c r="J201" s="258">
        <v>0</v>
      </c>
      <c r="K201" s="258">
        <v>0</v>
      </c>
      <c r="L201" s="258">
        <v>0</v>
      </c>
      <c r="M201" s="258">
        <v>0</v>
      </c>
      <c r="N201" s="258">
        <v>0</v>
      </c>
      <c r="O201" s="258">
        <v>0</v>
      </c>
      <c r="P201" s="258">
        <f t="shared" ref="P201:P258" si="3">SUM(D201:O201)</f>
        <v>0</v>
      </c>
      <c r="Q201" s="154" t="str">
        <f>Master!AF8</f>
        <v>ARMENIA</v>
      </c>
    </row>
    <row r="202" spans="2:17" ht="15.75" thickBot="1" x14ac:dyDescent="0.3">
      <c r="B202" s="154" t="s">
        <v>780</v>
      </c>
      <c r="C202" s="148" t="s">
        <v>333</v>
      </c>
      <c r="D202" s="258">
        <v>0</v>
      </c>
      <c r="E202" s="258">
        <v>0</v>
      </c>
      <c r="F202" s="258">
        <v>0</v>
      </c>
      <c r="G202" s="258">
        <v>0</v>
      </c>
      <c r="H202" s="258">
        <v>0</v>
      </c>
      <c r="I202" s="258">
        <v>0</v>
      </c>
      <c r="J202" s="258">
        <v>0</v>
      </c>
      <c r="K202" s="258">
        <v>0</v>
      </c>
      <c r="L202" s="258">
        <v>0</v>
      </c>
      <c r="M202" s="258">
        <v>0</v>
      </c>
      <c r="N202" s="258">
        <v>0</v>
      </c>
      <c r="O202" s="258">
        <v>2</v>
      </c>
      <c r="P202" s="258">
        <f t="shared" si="3"/>
        <v>2</v>
      </c>
      <c r="Q202" s="154" t="s">
        <v>780</v>
      </c>
    </row>
    <row r="203" spans="2:17" ht="15.75" thickBot="1" x14ac:dyDescent="0.3">
      <c r="B203" s="154" t="str">
        <f>Master!AF10</f>
        <v>BELARUS</v>
      </c>
      <c r="C203" s="148" t="str">
        <f>Master!AG10</f>
        <v>BO</v>
      </c>
      <c r="D203" s="258">
        <v>0</v>
      </c>
      <c r="E203" s="258">
        <v>0</v>
      </c>
      <c r="F203" s="258">
        <v>0</v>
      </c>
      <c r="G203" s="258">
        <v>3</v>
      </c>
      <c r="H203" s="258">
        <v>0</v>
      </c>
      <c r="I203" s="258">
        <v>0</v>
      </c>
      <c r="J203" s="258">
        <v>0</v>
      </c>
      <c r="K203" s="258">
        <v>5</v>
      </c>
      <c r="L203" s="258">
        <v>0</v>
      </c>
      <c r="M203" s="258">
        <v>0</v>
      </c>
      <c r="N203" s="258">
        <v>0</v>
      </c>
      <c r="O203" s="258">
        <v>0</v>
      </c>
      <c r="P203" s="258">
        <f t="shared" si="3"/>
        <v>8</v>
      </c>
      <c r="Q203" s="154" t="str">
        <f>Master!AF10</f>
        <v>BELARUS</v>
      </c>
    </row>
    <row r="204" spans="2:17" ht="15.75" thickBot="1" x14ac:dyDescent="0.3">
      <c r="B204" s="154" t="str">
        <f>Master!AF11</f>
        <v>BURMA</v>
      </c>
      <c r="C204" s="148" t="str">
        <f>Master!AG11</f>
        <v>BM</v>
      </c>
      <c r="D204" s="258">
        <v>5</v>
      </c>
      <c r="E204" s="258">
        <v>1</v>
      </c>
      <c r="F204" s="258">
        <v>0</v>
      </c>
      <c r="G204" s="258">
        <v>3</v>
      </c>
      <c r="H204" s="258">
        <v>3</v>
      </c>
      <c r="I204" s="258">
        <v>0</v>
      </c>
      <c r="J204" s="258">
        <v>9</v>
      </c>
      <c r="K204" s="258">
        <v>6</v>
      </c>
      <c r="L204" s="258">
        <v>0</v>
      </c>
      <c r="M204" s="258">
        <v>0</v>
      </c>
      <c r="N204" s="258">
        <v>0</v>
      </c>
      <c r="O204" s="258">
        <v>0</v>
      </c>
      <c r="P204" s="258">
        <f t="shared" si="3"/>
        <v>27</v>
      </c>
      <c r="Q204" s="154" t="str">
        <f>Master!AF11</f>
        <v>BURMA</v>
      </c>
    </row>
    <row r="205" spans="2:17" ht="15.75" thickBot="1" x14ac:dyDescent="0.3">
      <c r="B205" s="154" t="str">
        <f>Master!AF12</f>
        <v>BHUTAN</v>
      </c>
      <c r="C205" s="148" t="str">
        <f>Master!AG12</f>
        <v>BT</v>
      </c>
      <c r="D205" s="258">
        <v>2</v>
      </c>
      <c r="E205" s="258">
        <v>2</v>
      </c>
      <c r="F205" s="258">
        <v>3</v>
      </c>
      <c r="G205" s="258">
        <v>1</v>
      </c>
      <c r="H205" s="258">
        <v>2</v>
      </c>
      <c r="I205" s="258">
        <v>0</v>
      </c>
      <c r="J205" s="258">
        <v>0</v>
      </c>
      <c r="K205" s="258">
        <v>0</v>
      </c>
      <c r="L205" s="258">
        <v>0</v>
      </c>
      <c r="M205" s="258">
        <v>0</v>
      </c>
      <c r="N205" s="258">
        <v>0</v>
      </c>
      <c r="O205" s="258">
        <v>3</v>
      </c>
      <c r="P205" s="258">
        <f t="shared" si="3"/>
        <v>13</v>
      </c>
      <c r="Q205" s="154" t="str">
        <f>Master!AF12</f>
        <v>BHUTAN</v>
      </c>
    </row>
    <row r="206" spans="2:17" ht="15.75" thickBot="1" x14ac:dyDescent="0.3">
      <c r="B206" s="154" t="s">
        <v>779</v>
      </c>
      <c r="C206" s="148" t="s">
        <v>287</v>
      </c>
      <c r="D206" s="258">
        <v>0</v>
      </c>
      <c r="E206" s="258">
        <v>0</v>
      </c>
      <c r="F206" s="258">
        <v>0</v>
      </c>
      <c r="G206" s="258">
        <v>0</v>
      </c>
      <c r="H206" s="258">
        <v>0</v>
      </c>
      <c r="I206" s="258">
        <v>0</v>
      </c>
      <c r="J206" s="258">
        <v>0</v>
      </c>
      <c r="K206" s="258">
        <v>0</v>
      </c>
      <c r="L206" s="258">
        <v>0</v>
      </c>
      <c r="M206" s="258">
        <v>0</v>
      </c>
      <c r="N206" s="258">
        <v>0</v>
      </c>
      <c r="O206" s="258">
        <v>0</v>
      </c>
      <c r="P206" s="258">
        <f t="shared" si="3"/>
        <v>0</v>
      </c>
      <c r="Q206" s="154" t="s">
        <v>779</v>
      </c>
    </row>
    <row r="207" spans="2:17" ht="15.75" thickBot="1" x14ac:dyDescent="0.3">
      <c r="B207" s="154" t="str">
        <f>Master!AF14</f>
        <v>BURUNDI</v>
      </c>
      <c r="C207" s="148" t="str">
        <f>Master!AG14</f>
        <v>BY</v>
      </c>
      <c r="D207" s="258">
        <v>0</v>
      </c>
      <c r="E207" s="258">
        <v>0</v>
      </c>
      <c r="F207" s="258">
        <v>0</v>
      </c>
      <c r="G207" s="258">
        <v>0</v>
      </c>
      <c r="H207" s="258">
        <v>0</v>
      </c>
      <c r="I207" s="258">
        <v>0</v>
      </c>
      <c r="J207" s="258">
        <v>0</v>
      </c>
      <c r="K207" s="258">
        <v>0</v>
      </c>
      <c r="L207" s="258">
        <v>0</v>
      </c>
      <c r="M207" s="258">
        <v>0</v>
      </c>
      <c r="N207" s="258">
        <v>0</v>
      </c>
      <c r="O207" s="258">
        <v>0</v>
      </c>
      <c r="P207" s="258">
        <f t="shared" si="3"/>
        <v>0</v>
      </c>
      <c r="Q207" s="154" t="str">
        <f>Master!AF14</f>
        <v>BURUNDI</v>
      </c>
    </row>
    <row r="208" spans="2:17" ht="15.75" thickBot="1" x14ac:dyDescent="0.3">
      <c r="B208" s="154" t="str">
        <f>Master!AF15</f>
        <v>CAMEROUN</v>
      </c>
      <c r="C208" s="148" t="str">
        <f>Master!AG15</f>
        <v>CM</v>
      </c>
      <c r="D208" s="258">
        <v>0</v>
      </c>
      <c r="E208" s="258">
        <v>0</v>
      </c>
      <c r="F208" s="258">
        <v>0</v>
      </c>
      <c r="G208" s="258">
        <v>0</v>
      </c>
      <c r="H208" s="258">
        <v>0</v>
      </c>
      <c r="I208" s="258">
        <v>0</v>
      </c>
      <c r="J208" s="258">
        <v>1</v>
      </c>
      <c r="K208" s="258">
        <v>0</v>
      </c>
      <c r="L208" s="258">
        <v>0</v>
      </c>
      <c r="M208" s="258">
        <v>0</v>
      </c>
      <c r="N208" s="258">
        <v>0</v>
      </c>
      <c r="O208" s="258">
        <v>0</v>
      </c>
      <c r="P208" s="258">
        <f t="shared" si="3"/>
        <v>1</v>
      </c>
      <c r="Q208" s="154" t="str">
        <f>Master!AF15</f>
        <v>CAMEROUN</v>
      </c>
    </row>
    <row r="209" spans="2:17" ht="15.75" thickBot="1" x14ac:dyDescent="0.3">
      <c r="B209" s="154" t="str">
        <f>Master!AF16</f>
        <v>CENTRAL AFR REP</v>
      </c>
      <c r="C209" s="148" t="str">
        <f>Master!AG16</f>
        <v>CT</v>
      </c>
      <c r="D209" s="258">
        <v>0</v>
      </c>
      <c r="E209" s="258">
        <v>0</v>
      </c>
      <c r="F209" s="258">
        <v>0</v>
      </c>
      <c r="G209" s="258">
        <v>0</v>
      </c>
      <c r="H209" s="258">
        <v>0</v>
      </c>
      <c r="I209" s="258">
        <v>0</v>
      </c>
      <c r="J209" s="258">
        <v>0</v>
      </c>
      <c r="K209" s="258">
        <v>0</v>
      </c>
      <c r="L209" s="258">
        <v>0</v>
      </c>
      <c r="M209" s="258">
        <v>0</v>
      </c>
      <c r="N209" s="258">
        <v>0</v>
      </c>
      <c r="O209" s="258">
        <v>0</v>
      </c>
      <c r="P209" s="258">
        <f t="shared" si="3"/>
        <v>0</v>
      </c>
      <c r="Q209" s="154" t="str">
        <f>Master!AF16</f>
        <v>CENTRAL AFR REP</v>
      </c>
    </row>
    <row r="210" spans="2:17" ht="15.75" thickBot="1" x14ac:dyDescent="0.3">
      <c r="B210" s="154" t="str">
        <f>Master!AF17</f>
        <v>CHINA</v>
      </c>
      <c r="C210" s="148" t="str">
        <f>Master!AG17</f>
        <v>CH</v>
      </c>
      <c r="D210" s="258">
        <v>0</v>
      </c>
      <c r="E210" s="258">
        <v>0</v>
      </c>
      <c r="F210" s="258">
        <v>0</v>
      </c>
      <c r="G210" s="258">
        <v>0</v>
      </c>
      <c r="H210" s="258">
        <v>0</v>
      </c>
      <c r="I210" s="258">
        <v>0</v>
      </c>
      <c r="J210" s="258">
        <v>0</v>
      </c>
      <c r="K210" s="258">
        <v>0</v>
      </c>
      <c r="L210" s="258">
        <v>0</v>
      </c>
      <c r="M210" s="258">
        <v>0</v>
      </c>
      <c r="N210" s="258">
        <v>0</v>
      </c>
      <c r="O210" s="258">
        <v>0</v>
      </c>
      <c r="P210" s="258">
        <f t="shared" si="3"/>
        <v>0</v>
      </c>
      <c r="Q210" s="154" t="str">
        <f>Master!AF17</f>
        <v>CHINA</v>
      </c>
    </row>
    <row r="211" spans="2:17" ht="15.75" thickBot="1" x14ac:dyDescent="0.3">
      <c r="B211" s="154" t="str">
        <f>Master!AF18</f>
        <v>DEM REP OF CONGO</v>
      </c>
      <c r="C211" s="148" t="str">
        <f>Master!AG18</f>
        <v>CG</v>
      </c>
      <c r="D211" s="258">
        <v>11</v>
      </c>
      <c r="E211" s="258">
        <v>13</v>
      </c>
      <c r="F211" s="258">
        <v>4</v>
      </c>
      <c r="G211" s="258">
        <v>6</v>
      </c>
      <c r="H211" s="258">
        <v>2</v>
      </c>
      <c r="I211" s="258">
        <v>0</v>
      </c>
      <c r="J211" s="258">
        <v>0</v>
      </c>
      <c r="K211" s="258">
        <v>0</v>
      </c>
      <c r="L211" s="258">
        <v>1</v>
      </c>
      <c r="M211" s="258">
        <v>0</v>
      </c>
      <c r="N211" s="258">
        <v>0</v>
      </c>
      <c r="O211" s="258">
        <v>0</v>
      </c>
      <c r="P211" s="258">
        <f t="shared" si="3"/>
        <v>37</v>
      </c>
      <c r="Q211" s="154" t="str">
        <f>Master!AF18</f>
        <v>DEM REP OF CONGO</v>
      </c>
    </row>
    <row r="212" spans="2:17" ht="15.75" thickBot="1" x14ac:dyDescent="0.3">
      <c r="B212" s="154" t="str">
        <f>Master!AF19</f>
        <v>COLUMBIA</v>
      </c>
      <c r="C212" s="148" t="str">
        <f>Master!AG19</f>
        <v>CO</v>
      </c>
      <c r="D212" s="258">
        <v>0</v>
      </c>
      <c r="E212" s="258">
        <v>0</v>
      </c>
      <c r="F212" s="258">
        <v>0</v>
      </c>
      <c r="G212" s="258">
        <v>0</v>
      </c>
      <c r="H212" s="258">
        <v>0</v>
      </c>
      <c r="I212" s="258">
        <v>0</v>
      </c>
      <c r="J212" s="258">
        <v>0</v>
      </c>
      <c r="K212" s="258">
        <v>0</v>
      </c>
      <c r="L212" s="258">
        <v>0</v>
      </c>
      <c r="M212" s="258">
        <v>0</v>
      </c>
      <c r="N212" s="258">
        <v>0</v>
      </c>
      <c r="O212" s="258">
        <v>0</v>
      </c>
      <c r="P212" s="258">
        <f t="shared" si="3"/>
        <v>0</v>
      </c>
      <c r="Q212" s="154" t="str">
        <f>Master!AF19</f>
        <v>COLUMBIA</v>
      </c>
    </row>
    <row r="213" spans="2:17" ht="15.75" thickBot="1" x14ac:dyDescent="0.3">
      <c r="B213" s="154" t="str">
        <f>Master!AF20</f>
        <v>CONGO</v>
      </c>
      <c r="C213" s="148" t="str">
        <f>Master!AG20</f>
        <v>CF</v>
      </c>
      <c r="D213" s="258">
        <v>0</v>
      </c>
      <c r="E213" s="258">
        <v>0</v>
      </c>
      <c r="F213" s="258">
        <v>0</v>
      </c>
      <c r="G213" s="258">
        <v>0</v>
      </c>
      <c r="H213" s="258">
        <v>0</v>
      </c>
      <c r="I213" s="258">
        <v>0</v>
      </c>
      <c r="J213" s="258">
        <v>0</v>
      </c>
      <c r="K213" s="258">
        <v>0</v>
      </c>
      <c r="L213" s="258">
        <v>0</v>
      </c>
      <c r="M213" s="258">
        <v>0</v>
      </c>
      <c r="N213" s="258">
        <v>0</v>
      </c>
      <c r="O213" s="258">
        <v>0</v>
      </c>
      <c r="P213" s="258">
        <f t="shared" si="3"/>
        <v>0</v>
      </c>
      <c r="Q213" s="154" t="str">
        <f>Master!AF20</f>
        <v>CONGO</v>
      </c>
    </row>
    <row r="214" spans="2:17" ht="15.75" thickBot="1" x14ac:dyDescent="0.3">
      <c r="B214" s="154" t="str">
        <f>Master!AF21</f>
        <v>CUBA</v>
      </c>
      <c r="C214" s="148" t="str">
        <f>Master!AG21</f>
        <v>CU</v>
      </c>
      <c r="D214" s="66">
        <v>0</v>
      </c>
      <c r="E214" s="66">
        <v>0</v>
      </c>
      <c r="F214" s="66">
        <v>0</v>
      </c>
      <c r="G214" s="66">
        <v>0</v>
      </c>
      <c r="H214" s="66">
        <v>0</v>
      </c>
      <c r="I214" s="66">
        <v>0</v>
      </c>
      <c r="J214" s="66">
        <v>0</v>
      </c>
      <c r="K214" s="258">
        <v>0</v>
      </c>
      <c r="L214" s="66">
        <v>0</v>
      </c>
      <c r="M214" s="66">
        <v>0</v>
      </c>
      <c r="N214" s="258">
        <v>0</v>
      </c>
      <c r="O214" s="258">
        <v>0</v>
      </c>
      <c r="P214" s="258">
        <f t="shared" si="3"/>
        <v>0</v>
      </c>
      <c r="Q214" s="154" t="str">
        <f>Master!AF21</f>
        <v>CUBA</v>
      </c>
    </row>
    <row r="215" spans="2:17" ht="15.75" thickBot="1" x14ac:dyDescent="0.3">
      <c r="B215" s="154" t="str">
        <f>Master!AF22</f>
        <v>CUBAN ENTRANT</v>
      </c>
      <c r="C215" s="148" t="str">
        <f>Master!AG22</f>
        <v>CUE</v>
      </c>
      <c r="D215" s="66">
        <v>0</v>
      </c>
      <c r="E215" s="66">
        <v>0</v>
      </c>
      <c r="F215" s="66">
        <v>0</v>
      </c>
      <c r="G215" s="66">
        <v>0</v>
      </c>
      <c r="H215" s="66">
        <v>0</v>
      </c>
      <c r="I215" s="66">
        <v>0</v>
      </c>
      <c r="J215" s="66">
        <v>0</v>
      </c>
      <c r="K215" s="258">
        <v>0</v>
      </c>
      <c r="L215" s="66">
        <v>0</v>
      </c>
      <c r="M215" s="66">
        <v>0</v>
      </c>
      <c r="N215" s="258">
        <v>0</v>
      </c>
      <c r="O215" s="258">
        <v>0</v>
      </c>
      <c r="P215" s="258">
        <f t="shared" si="3"/>
        <v>0</v>
      </c>
      <c r="Q215" s="154" t="str">
        <f>Master!AF22</f>
        <v>CUBAN ENTRANT</v>
      </c>
    </row>
    <row r="216" spans="2:17" ht="15.75" thickBot="1" x14ac:dyDescent="0.3">
      <c r="B216" s="154" t="str">
        <f>Master!AF23</f>
        <v>ECUADOR</v>
      </c>
      <c r="C216" s="148" t="str">
        <f>Master!AG23</f>
        <v>EC</v>
      </c>
      <c r="D216" s="66">
        <v>0</v>
      </c>
      <c r="E216" s="66">
        <v>0</v>
      </c>
      <c r="F216" s="66">
        <v>0</v>
      </c>
      <c r="G216" s="66">
        <v>0</v>
      </c>
      <c r="H216" s="66">
        <v>0</v>
      </c>
      <c r="I216" s="66">
        <v>0</v>
      </c>
      <c r="J216" s="66">
        <v>0</v>
      </c>
      <c r="K216" s="258">
        <v>0</v>
      </c>
      <c r="L216" s="66">
        <v>0</v>
      </c>
      <c r="M216" s="66">
        <v>0</v>
      </c>
      <c r="N216" s="258">
        <v>0</v>
      </c>
      <c r="O216" s="258">
        <v>0</v>
      </c>
      <c r="P216" s="258">
        <f t="shared" si="3"/>
        <v>0</v>
      </c>
      <c r="Q216" s="154" t="str">
        <f>Master!AF23</f>
        <v>ECUADOR</v>
      </c>
    </row>
    <row r="217" spans="2:17" ht="15.75" thickBot="1" x14ac:dyDescent="0.3">
      <c r="B217" s="154" t="str">
        <f>Master!AF24</f>
        <v>EGYPT</v>
      </c>
      <c r="C217" s="148" t="str">
        <f>Master!AG24</f>
        <v>EG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66">
        <v>0</v>
      </c>
      <c r="K217" s="258">
        <v>0</v>
      </c>
      <c r="L217" s="66">
        <v>0</v>
      </c>
      <c r="M217" s="66">
        <v>0</v>
      </c>
      <c r="N217" s="258">
        <v>0</v>
      </c>
      <c r="O217" s="258">
        <v>0</v>
      </c>
      <c r="P217" s="258">
        <f t="shared" si="3"/>
        <v>0</v>
      </c>
      <c r="Q217" s="154" t="str">
        <f>Master!AF24</f>
        <v>EGYPT</v>
      </c>
    </row>
    <row r="218" spans="2:17" ht="15.75" thickBot="1" x14ac:dyDescent="0.3">
      <c r="B218" s="154" t="str">
        <f>Master!AF25</f>
        <v>ERITREA</v>
      </c>
      <c r="C218" s="148" t="str">
        <f>Master!AG25</f>
        <v>ER</v>
      </c>
      <c r="D218" s="66">
        <v>1</v>
      </c>
      <c r="E218" s="66">
        <v>1</v>
      </c>
      <c r="F218" s="66">
        <v>0</v>
      </c>
      <c r="G218" s="66">
        <v>0</v>
      </c>
      <c r="H218" s="66">
        <v>0</v>
      </c>
      <c r="I218" s="66">
        <v>0</v>
      </c>
      <c r="J218" s="66">
        <v>0</v>
      </c>
      <c r="K218" s="258">
        <v>0</v>
      </c>
      <c r="L218" s="66">
        <v>1</v>
      </c>
      <c r="M218" s="66">
        <v>0</v>
      </c>
      <c r="N218" s="258">
        <v>0</v>
      </c>
      <c r="O218" s="258">
        <v>0</v>
      </c>
      <c r="P218" s="258">
        <f t="shared" si="3"/>
        <v>3</v>
      </c>
      <c r="Q218" s="154" t="str">
        <f>Master!AF25</f>
        <v>ERITREA</v>
      </c>
    </row>
    <row r="219" spans="2:17" ht="15.75" thickBot="1" x14ac:dyDescent="0.3">
      <c r="B219" s="154" t="str">
        <f>Master!AF26</f>
        <v>ETHIOPIA</v>
      </c>
      <c r="C219" s="148" t="str">
        <f>Master!AG26</f>
        <v>ET</v>
      </c>
      <c r="D219" s="66">
        <v>2</v>
      </c>
      <c r="E219" s="66">
        <v>0</v>
      </c>
      <c r="F219" s="66">
        <v>0</v>
      </c>
      <c r="G219" s="66">
        <v>0</v>
      </c>
      <c r="H219" s="66">
        <v>0</v>
      </c>
      <c r="I219" s="66">
        <v>0</v>
      </c>
      <c r="J219" s="66">
        <v>0</v>
      </c>
      <c r="K219" s="258">
        <v>0</v>
      </c>
      <c r="L219" s="66">
        <v>0</v>
      </c>
      <c r="M219" s="66">
        <v>0</v>
      </c>
      <c r="N219" s="258">
        <v>0</v>
      </c>
      <c r="O219" s="258">
        <v>1</v>
      </c>
      <c r="P219" s="258">
        <f t="shared" si="3"/>
        <v>3</v>
      </c>
      <c r="Q219" s="154" t="str">
        <f>Master!AF26</f>
        <v>ETHIOPIA</v>
      </c>
    </row>
    <row r="220" spans="2:17" ht="15.75" thickBot="1" x14ac:dyDescent="0.3">
      <c r="B220" s="154" t="str">
        <f>Master!AF27</f>
        <v>FRANCE</v>
      </c>
      <c r="C220" s="148" t="str">
        <f>Master!AG27</f>
        <v>FR</v>
      </c>
      <c r="D220" s="66">
        <v>0</v>
      </c>
      <c r="E220" s="66">
        <v>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  <c r="K220" s="258">
        <v>0</v>
      </c>
      <c r="L220" s="66">
        <v>0</v>
      </c>
      <c r="M220" s="66">
        <v>0</v>
      </c>
      <c r="N220" s="258">
        <v>0</v>
      </c>
      <c r="O220" s="258">
        <v>0</v>
      </c>
      <c r="P220" s="258">
        <f t="shared" si="3"/>
        <v>0</v>
      </c>
      <c r="Q220" s="154" t="str">
        <f>Master!AF27</f>
        <v>FRANCE</v>
      </c>
    </row>
    <row r="221" spans="2:17" ht="15.75" thickBot="1" x14ac:dyDescent="0.3">
      <c r="B221" s="154" t="str">
        <f>Master!AF28</f>
        <v>GUINEA</v>
      </c>
      <c r="C221" s="148" t="str">
        <f>Master!AG28</f>
        <v>GV</v>
      </c>
      <c r="D221" s="66"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0</v>
      </c>
      <c r="J221" s="66">
        <v>0</v>
      </c>
      <c r="K221" s="258">
        <v>0</v>
      </c>
      <c r="L221" s="66">
        <v>0</v>
      </c>
      <c r="M221" s="66">
        <v>0</v>
      </c>
      <c r="N221" s="258">
        <v>0</v>
      </c>
      <c r="O221" s="258">
        <v>0</v>
      </c>
      <c r="P221" s="258">
        <f t="shared" si="3"/>
        <v>0</v>
      </c>
      <c r="Q221" s="154" t="str">
        <f>Master!AF28</f>
        <v>GUINEA</v>
      </c>
    </row>
    <row r="222" spans="2:17" ht="15.75" thickBot="1" x14ac:dyDescent="0.3">
      <c r="B222" s="154" t="str">
        <f>Master!AF29</f>
        <v>HAITI</v>
      </c>
      <c r="C222" s="148" t="str">
        <f>Master!AG29</f>
        <v>HA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258">
        <v>0</v>
      </c>
      <c r="L222" s="66">
        <v>0</v>
      </c>
      <c r="M222" s="66">
        <v>0</v>
      </c>
      <c r="N222" s="258">
        <v>0</v>
      </c>
      <c r="O222" s="258">
        <v>0</v>
      </c>
      <c r="P222" s="258">
        <f t="shared" si="3"/>
        <v>0</v>
      </c>
      <c r="Q222" s="154" t="str">
        <f>Master!AF29</f>
        <v>HAITI</v>
      </c>
    </row>
    <row r="223" spans="2:17" ht="15.75" thickBot="1" x14ac:dyDescent="0.3">
      <c r="B223" s="154" t="str">
        <f>Master!AF30</f>
        <v>INDIA</v>
      </c>
      <c r="C223" s="148" t="str">
        <f>Master!AG30</f>
        <v>IN</v>
      </c>
      <c r="D223" s="66">
        <v>1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258">
        <v>0</v>
      </c>
      <c r="L223" s="66">
        <v>0</v>
      </c>
      <c r="M223" s="66">
        <v>0</v>
      </c>
      <c r="N223" s="258">
        <v>0</v>
      </c>
      <c r="O223" s="258">
        <v>0</v>
      </c>
      <c r="P223" s="258">
        <f t="shared" si="3"/>
        <v>1</v>
      </c>
      <c r="Q223" s="154" t="str">
        <f>Master!AF30</f>
        <v>INDIA</v>
      </c>
    </row>
    <row r="224" spans="2:17" ht="15.75" thickBot="1" x14ac:dyDescent="0.3">
      <c r="B224" s="154" t="str">
        <f>Master!AF31</f>
        <v>INDONESIA</v>
      </c>
      <c r="C224" s="148" t="str">
        <f>Master!AG31</f>
        <v>ID</v>
      </c>
      <c r="D224" s="6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  <c r="K224" s="258">
        <v>0</v>
      </c>
      <c r="L224" s="66">
        <v>0</v>
      </c>
      <c r="M224" s="66">
        <v>0</v>
      </c>
      <c r="N224" s="258">
        <v>0</v>
      </c>
      <c r="O224" s="258">
        <v>0</v>
      </c>
      <c r="P224" s="258">
        <f t="shared" si="3"/>
        <v>0</v>
      </c>
      <c r="Q224" s="154" t="str">
        <f>Master!AF31</f>
        <v>INDONESIA</v>
      </c>
    </row>
    <row r="225" spans="2:17" ht="15.75" thickBot="1" x14ac:dyDescent="0.3">
      <c r="B225" s="154" t="str">
        <f>Master!AF32</f>
        <v>IRAN</v>
      </c>
      <c r="C225" s="148" t="str">
        <f>Master!AG32</f>
        <v>IR</v>
      </c>
      <c r="D225" s="66">
        <v>0</v>
      </c>
      <c r="E225" s="66">
        <v>0</v>
      </c>
      <c r="F225" s="66">
        <v>0</v>
      </c>
      <c r="G225" s="66">
        <v>0</v>
      </c>
      <c r="H225" s="66">
        <v>0</v>
      </c>
      <c r="I225" s="66">
        <v>0</v>
      </c>
      <c r="J225" s="66">
        <v>0</v>
      </c>
      <c r="K225" s="258">
        <v>0</v>
      </c>
      <c r="L225" s="66">
        <v>0</v>
      </c>
      <c r="M225" s="66">
        <v>1</v>
      </c>
      <c r="N225" s="258">
        <v>0</v>
      </c>
      <c r="O225" s="258">
        <v>0</v>
      </c>
      <c r="P225" s="258">
        <f t="shared" si="3"/>
        <v>1</v>
      </c>
      <c r="Q225" s="154" t="str">
        <f>Master!AF32</f>
        <v>IRAN</v>
      </c>
    </row>
    <row r="226" spans="2:17" ht="15.75" thickBot="1" x14ac:dyDescent="0.3">
      <c r="B226" s="154" t="str">
        <f>Master!AF33</f>
        <v>IRAQ</v>
      </c>
      <c r="C226" s="148" t="str">
        <f>Master!AG33</f>
        <v>IZ</v>
      </c>
      <c r="D226" s="66">
        <v>7</v>
      </c>
      <c r="E226" s="66">
        <v>2</v>
      </c>
      <c r="F226" s="66">
        <v>9</v>
      </c>
      <c r="G226" s="66">
        <v>6</v>
      </c>
      <c r="H226" s="66">
        <v>1</v>
      </c>
      <c r="I226" s="66">
        <v>10</v>
      </c>
      <c r="J226" s="66">
        <v>0</v>
      </c>
      <c r="K226" s="258">
        <v>0</v>
      </c>
      <c r="L226" s="66">
        <v>0</v>
      </c>
      <c r="M226" s="66">
        <v>0</v>
      </c>
      <c r="N226" s="258">
        <v>0</v>
      </c>
      <c r="O226" s="258">
        <v>0</v>
      </c>
      <c r="P226" s="258">
        <f t="shared" si="3"/>
        <v>35</v>
      </c>
      <c r="Q226" s="154" t="str">
        <f>Master!AF33</f>
        <v>IRAQ</v>
      </c>
    </row>
    <row r="227" spans="2:17" ht="15.75" thickBot="1" x14ac:dyDescent="0.3">
      <c r="B227" s="154" t="str">
        <f>Master!AF34</f>
        <v>IVORY COAST</v>
      </c>
      <c r="C227" s="148" t="str">
        <f>Master!AG34</f>
        <v>IV</v>
      </c>
      <c r="D227" s="66">
        <v>0</v>
      </c>
      <c r="E227" s="66">
        <v>0</v>
      </c>
      <c r="F227" s="66">
        <v>0</v>
      </c>
      <c r="G227" s="66">
        <v>0</v>
      </c>
      <c r="H227" s="66">
        <v>5</v>
      </c>
      <c r="I227" s="66">
        <v>0</v>
      </c>
      <c r="J227" s="66">
        <v>0</v>
      </c>
      <c r="K227" s="258">
        <v>0</v>
      </c>
      <c r="L227" s="66">
        <v>1</v>
      </c>
      <c r="M227" s="66">
        <v>1</v>
      </c>
      <c r="N227" s="258">
        <v>0</v>
      </c>
      <c r="O227" s="258">
        <v>0</v>
      </c>
      <c r="P227" s="258">
        <f t="shared" si="3"/>
        <v>7</v>
      </c>
      <c r="Q227" s="154" t="str">
        <f>Master!AF34</f>
        <v>IVORY COAST</v>
      </c>
    </row>
    <row r="228" spans="2:17" ht="15.75" thickBot="1" x14ac:dyDescent="0.3">
      <c r="B228" s="154" t="str">
        <f>Master!AF35</f>
        <v>JORDAN</v>
      </c>
      <c r="C228" s="148" t="str">
        <f>Master!AG35</f>
        <v>JO</v>
      </c>
      <c r="D228" s="66">
        <v>0</v>
      </c>
      <c r="E228" s="66">
        <v>0</v>
      </c>
      <c r="F228" s="66">
        <v>0</v>
      </c>
      <c r="G228" s="66">
        <v>0</v>
      </c>
      <c r="H228" s="66">
        <v>0</v>
      </c>
      <c r="I228" s="66">
        <v>0</v>
      </c>
      <c r="J228" s="66">
        <v>0</v>
      </c>
      <c r="K228" s="258">
        <v>0</v>
      </c>
      <c r="L228" s="66">
        <v>0</v>
      </c>
      <c r="M228" s="66">
        <v>0</v>
      </c>
      <c r="N228" s="258">
        <v>0</v>
      </c>
      <c r="O228" s="258">
        <v>0</v>
      </c>
      <c r="P228" s="258">
        <f t="shared" si="3"/>
        <v>0</v>
      </c>
      <c r="Q228" s="154" t="str">
        <f>Master!AF35</f>
        <v>JORDAN</v>
      </c>
    </row>
    <row r="229" spans="2:17" ht="15.75" thickBot="1" x14ac:dyDescent="0.3">
      <c r="B229" s="154" t="str">
        <f>Master!AF36</f>
        <v>KAZAKHSTAN</v>
      </c>
      <c r="C229" s="148" t="str">
        <f>Master!AG36</f>
        <v>KZ</v>
      </c>
      <c r="D229" s="66">
        <v>0</v>
      </c>
      <c r="E229" s="66">
        <v>0</v>
      </c>
      <c r="F229" s="66">
        <v>0</v>
      </c>
      <c r="G229" s="66">
        <v>0</v>
      </c>
      <c r="H229" s="66">
        <v>0</v>
      </c>
      <c r="I229" s="66">
        <v>0</v>
      </c>
      <c r="J229" s="66">
        <v>0</v>
      </c>
      <c r="K229" s="258">
        <v>0</v>
      </c>
      <c r="L229" s="66">
        <v>0</v>
      </c>
      <c r="M229" s="66">
        <v>0</v>
      </c>
      <c r="N229" s="258">
        <v>0</v>
      </c>
      <c r="O229" s="258">
        <v>0</v>
      </c>
      <c r="P229" s="258">
        <f t="shared" si="3"/>
        <v>0</v>
      </c>
      <c r="Q229" s="154" t="str">
        <f>Master!AF36</f>
        <v>KAZAKHSTAN</v>
      </c>
    </row>
    <row r="230" spans="2:17" ht="15.75" thickBot="1" x14ac:dyDescent="0.3">
      <c r="B230" s="154" t="str">
        <f>Master!AF37</f>
        <v>KENYA</v>
      </c>
      <c r="C230" s="148" t="str">
        <f>Master!AG37</f>
        <v>KE</v>
      </c>
      <c r="D230" s="66">
        <v>0</v>
      </c>
      <c r="E230" s="66">
        <v>0</v>
      </c>
      <c r="F230" s="66">
        <v>0</v>
      </c>
      <c r="G230" s="66">
        <v>0</v>
      </c>
      <c r="H230" s="66">
        <v>0</v>
      </c>
      <c r="I230" s="66">
        <v>0</v>
      </c>
      <c r="J230" s="66">
        <v>0</v>
      </c>
      <c r="K230" s="258">
        <v>0</v>
      </c>
      <c r="L230" s="66">
        <v>0</v>
      </c>
      <c r="M230" s="66">
        <v>0</v>
      </c>
      <c r="N230" s="258">
        <v>0</v>
      </c>
      <c r="O230" s="258">
        <v>0</v>
      </c>
      <c r="P230" s="258">
        <f t="shared" si="3"/>
        <v>0</v>
      </c>
      <c r="Q230" s="154" t="str">
        <f>Master!AF37</f>
        <v>KENYA</v>
      </c>
    </row>
    <row r="231" spans="2:17" ht="15.75" thickBot="1" x14ac:dyDescent="0.3">
      <c r="B231" s="154" t="str">
        <f>Master!AF38</f>
        <v>LEBANON</v>
      </c>
      <c r="C231" s="148" t="str">
        <f>Master!AG38</f>
        <v>LE</v>
      </c>
      <c r="D231" s="66">
        <v>0</v>
      </c>
      <c r="E231" s="66">
        <v>0</v>
      </c>
      <c r="F231" s="66">
        <v>0</v>
      </c>
      <c r="G231" s="66">
        <v>0</v>
      </c>
      <c r="H231" s="66">
        <v>0</v>
      </c>
      <c r="I231" s="66">
        <v>0</v>
      </c>
      <c r="J231" s="66">
        <v>0</v>
      </c>
      <c r="K231" s="258">
        <v>0</v>
      </c>
      <c r="L231" s="66">
        <v>0</v>
      </c>
      <c r="M231" s="66">
        <v>0</v>
      </c>
      <c r="N231" s="258">
        <v>0</v>
      </c>
      <c r="O231" s="258">
        <v>0</v>
      </c>
      <c r="P231" s="258">
        <f t="shared" si="3"/>
        <v>0</v>
      </c>
      <c r="Q231" s="154" t="str">
        <f>Master!AF38</f>
        <v>LEBANON</v>
      </c>
    </row>
    <row r="232" spans="2:17" ht="15.75" thickBot="1" x14ac:dyDescent="0.3">
      <c r="B232" s="154" t="str">
        <f>Master!AF39</f>
        <v>LIBERIA</v>
      </c>
      <c r="C232" s="148" t="str">
        <f>Master!AG39</f>
        <v>LI</v>
      </c>
      <c r="D232" s="66">
        <v>0</v>
      </c>
      <c r="E232" s="66">
        <v>0</v>
      </c>
      <c r="F232" s="66">
        <v>0</v>
      </c>
      <c r="G232" s="66">
        <v>0</v>
      </c>
      <c r="H232" s="66">
        <v>0</v>
      </c>
      <c r="I232" s="66">
        <v>0</v>
      </c>
      <c r="J232" s="66">
        <v>0</v>
      </c>
      <c r="K232" s="258">
        <v>0</v>
      </c>
      <c r="L232" s="66">
        <v>0</v>
      </c>
      <c r="M232" s="66">
        <v>0</v>
      </c>
      <c r="N232" s="258">
        <v>0</v>
      </c>
      <c r="O232" s="258">
        <v>0</v>
      </c>
      <c r="P232" s="258">
        <f t="shared" si="3"/>
        <v>0</v>
      </c>
      <c r="Q232" s="154" t="str">
        <f>Master!AF39</f>
        <v>LIBERIA</v>
      </c>
    </row>
    <row r="233" spans="2:17" ht="15.75" thickBot="1" x14ac:dyDescent="0.3">
      <c r="B233" s="154" t="str">
        <f>Master!AF40</f>
        <v>LIBYA</v>
      </c>
      <c r="C233" s="148" t="str">
        <f>Master!AG40</f>
        <v>LY</v>
      </c>
      <c r="D233" s="66">
        <v>0</v>
      </c>
      <c r="E233" s="66"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258">
        <v>0</v>
      </c>
      <c r="L233" s="66">
        <v>0</v>
      </c>
      <c r="M233" s="66">
        <v>0</v>
      </c>
      <c r="N233" s="258">
        <v>0</v>
      </c>
      <c r="O233" s="258">
        <v>0</v>
      </c>
      <c r="P233" s="258">
        <f t="shared" si="3"/>
        <v>0</v>
      </c>
      <c r="Q233" s="154" t="str">
        <f>Master!AF40</f>
        <v>LIBYA</v>
      </c>
    </row>
    <row r="234" spans="2:17" ht="15.75" thickBot="1" x14ac:dyDescent="0.3">
      <c r="B234" s="154" t="str">
        <f>Master!AF41</f>
        <v>MOLDOVA</v>
      </c>
      <c r="C234" s="148" t="str">
        <f>Master!AG41</f>
        <v>MD</v>
      </c>
      <c r="D234" s="66">
        <v>0</v>
      </c>
      <c r="E234" s="66">
        <v>0</v>
      </c>
      <c r="F234" s="66">
        <v>0</v>
      </c>
      <c r="G234" s="66">
        <v>0</v>
      </c>
      <c r="H234" s="66">
        <v>0</v>
      </c>
      <c r="I234" s="66">
        <v>0</v>
      </c>
      <c r="J234" s="66">
        <v>0</v>
      </c>
      <c r="K234" s="258">
        <v>0</v>
      </c>
      <c r="L234" s="66">
        <v>0</v>
      </c>
      <c r="M234" s="66">
        <v>0</v>
      </c>
      <c r="N234" s="258">
        <v>0</v>
      </c>
      <c r="O234" s="258">
        <v>0</v>
      </c>
      <c r="P234" s="258">
        <f t="shared" si="3"/>
        <v>0</v>
      </c>
      <c r="Q234" s="154" t="str">
        <f>Master!AF41</f>
        <v>MOLDOVA</v>
      </c>
    </row>
    <row r="235" spans="2:17" ht="15.75" thickBot="1" x14ac:dyDescent="0.3">
      <c r="B235" s="154" t="str">
        <f>Master!AF42</f>
        <v>MALI</v>
      </c>
      <c r="C235" s="148" t="str">
        <f>Master!AG42</f>
        <v>ML</v>
      </c>
      <c r="D235" s="66">
        <v>0</v>
      </c>
      <c r="E235" s="66">
        <v>0</v>
      </c>
      <c r="F235" s="66">
        <v>0</v>
      </c>
      <c r="G235" s="66">
        <v>0</v>
      </c>
      <c r="H235" s="66">
        <v>0</v>
      </c>
      <c r="I235" s="66">
        <v>0</v>
      </c>
      <c r="J235" s="66">
        <v>0</v>
      </c>
      <c r="K235" s="258">
        <v>0</v>
      </c>
      <c r="L235" s="66">
        <v>0</v>
      </c>
      <c r="M235" s="66">
        <v>0</v>
      </c>
      <c r="N235" s="258">
        <v>0</v>
      </c>
      <c r="O235" s="258">
        <v>0</v>
      </c>
      <c r="P235" s="258">
        <f t="shared" si="3"/>
        <v>0</v>
      </c>
      <c r="Q235" s="154" t="str">
        <f>Master!AF42</f>
        <v>MALI</v>
      </c>
    </row>
    <row r="236" spans="2:17" ht="15.75" thickBot="1" x14ac:dyDescent="0.3">
      <c r="B236" s="154" t="str">
        <f>Master!AF43</f>
        <v>MALAYSIA</v>
      </c>
      <c r="C236" s="148" t="str">
        <f>Master!AG43</f>
        <v>MY</v>
      </c>
      <c r="D236" s="66">
        <v>0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  <c r="J236" s="66">
        <v>0</v>
      </c>
      <c r="K236" s="258">
        <v>0</v>
      </c>
      <c r="L236" s="66">
        <v>0</v>
      </c>
      <c r="M236" s="66">
        <v>0</v>
      </c>
      <c r="N236" s="258">
        <v>0</v>
      </c>
      <c r="O236" s="258">
        <v>0</v>
      </c>
      <c r="P236" s="258">
        <f t="shared" si="3"/>
        <v>0</v>
      </c>
      <c r="Q236" s="154" t="str">
        <f>Master!AF43</f>
        <v>MALAYSIA</v>
      </c>
    </row>
    <row r="237" spans="2:17" ht="15.75" thickBot="1" x14ac:dyDescent="0.3">
      <c r="B237" s="154" t="str">
        <f>Master!AF44</f>
        <v>NAMIBIA</v>
      </c>
      <c r="C237" s="148" t="str">
        <f>Master!AG44</f>
        <v>WA</v>
      </c>
      <c r="D237" s="66">
        <v>0</v>
      </c>
      <c r="E237" s="66">
        <v>0</v>
      </c>
      <c r="F237" s="66">
        <v>0</v>
      </c>
      <c r="G237" s="66">
        <v>0</v>
      </c>
      <c r="H237" s="66">
        <v>0</v>
      </c>
      <c r="I237" s="66">
        <v>0</v>
      </c>
      <c r="J237" s="66">
        <v>0</v>
      </c>
      <c r="K237" s="258">
        <v>0</v>
      </c>
      <c r="L237" s="66">
        <v>0</v>
      </c>
      <c r="M237" s="66">
        <v>0</v>
      </c>
      <c r="N237" s="258">
        <v>0</v>
      </c>
      <c r="O237" s="258">
        <v>0</v>
      </c>
      <c r="P237" s="258">
        <f t="shared" si="3"/>
        <v>0</v>
      </c>
      <c r="Q237" s="154" t="str">
        <f>Master!AF44</f>
        <v>NAMIBIA</v>
      </c>
    </row>
    <row r="238" spans="2:17" ht="15.75" thickBot="1" x14ac:dyDescent="0.3">
      <c r="B238" s="154" t="str">
        <f>Master!AF45</f>
        <v>NEPAL</v>
      </c>
      <c r="C238" s="148" t="str">
        <f>Master!AG45</f>
        <v>NP</v>
      </c>
      <c r="D238" s="66">
        <v>0</v>
      </c>
      <c r="E238" s="66">
        <v>0</v>
      </c>
      <c r="F238" s="66">
        <v>0</v>
      </c>
      <c r="G238" s="66">
        <v>0</v>
      </c>
      <c r="H238" s="66">
        <v>0</v>
      </c>
      <c r="I238" s="66">
        <v>0</v>
      </c>
      <c r="J238" s="66">
        <v>0</v>
      </c>
      <c r="K238" s="258">
        <v>0</v>
      </c>
      <c r="L238" s="66">
        <v>0</v>
      </c>
      <c r="M238" s="66">
        <v>0</v>
      </c>
      <c r="N238" s="258">
        <v>0</v>
      </c>
      <c r="O238" s="258">
        <v>0</v>
      </c>
      <c r="P238" s="258">
        <f t="shared" si="3"/>
        <v>0</v>
      </c>
      <c r="Q238" s="154" t="str">
        <f>Master!AF45</f>
        <v>NEPAL</v>
      </c>
    </row>
    <row r="239" spans="2:17" ht="15.75" thickBot="1" x14ac:dyDescent="0.3">
      <c r="B239" s="154" t="str">
        <f>Master!AF46</f>
        <v>NIGERIA</v>
      </c>
      <c r="C239" s="148" t="str">
        <f>Master!AG46</f>
        <v>NI</v>
      </c>
      <c r="D239" s="258">
        <v>0</v>
      </c>
      <c r="E239" s="258">
        <v>0</v>
      </c>
      <c r="F239" s="258">
        <v>0</v>
      </c>
      <c r="G239" s="258">
        <v>0</v>
      </c>
      <c r="H239" s="258">
        <v>0</v>
      </c>
      <c r="I239" s="258">
        <v>0</v>
      </c>
      <c r="J239" s="258">
        <v>0</v>
      </c>
      <c r="K239" s="258">
        <v>0</v>
      </c>
      <c r="L239" s="258">
        <v>0</v>
      </c>
      <c r="M239" s="258">
        <v>0</v>
      </c>
      <c r="N239" s="258">
        <v>0</v>
      </c>
      <c r="O239" s="258">
        <v>0</v>
      </c>
      <c r="P239" s="258">
        <f t="shared" si="3"/>
        <v>0</v>
      </c>
      <c r="Q239" s="154" t="str">
        <f>Master!AF46</f>
        <v>NIGERIA</v>
      </c>
    </row>
    <row r="240" spans="2:17" ht="15.75" thickBot="1" x14ac:dyDescent="0.3">
      <c r="B240" s="154" t="str">
        <f>Master!AF47</f>
        <v>PAKISTAN</v>
      </c>
      <c r="C240" s="148" t="str">
        <f>Master!AG47</f>
        <v>PK</v>
      </c>
      <c r="D240" s="66">
        <v>7</v>
      </c>
      <c r="E240" s="66">
        <v>0</v>
      </c>
      <c r="F240" s="66">
        <v>0</v>
      </c>
      <c r="G240" s="66">
        <v>1</v>
      </c>
      <c r="H240" s="66">
        <v>1</v>
      </c>
      <c r="I240" s="66">
        <v>0</v>
      </c>
      <c r="J240" s="66">
        <v>0</v>
      </c>
      <c r="K240" s="258">
        <v>4</v>
      </c>
      <c r="L240" s="66">
        <v>3</v>
      </c>
      <c r="M240" s="66">
        <v>0</v>
      </c>
      <c r="N240" s="258">
        <v>4</v>
      </c>
      <c r="O240" s="258">
        <v>1</v>
      </c>
      <c r="P240" s="258">
        <f t="shared" si="3"/>
        <v>21</v>
      </c>
      <c r="Q240" s="154" t="str">
        <f>Master!AF47</f>
        <v>PAKISTAN</v>
      </c>
    </row>
    <row r="241" spans="2:17" ht="15.75" thickBot="1" x14ac:dyDescent="0.3">
      <c r="B241" s="154" t="str">
        <f>Master!AF48</f>
        <v>PITCAIRN ISLANDS</v>
      </c>
      <c r="C241" s="148" t="str">
        <f>Master!AG48</f>
        <v>PN</v>
      </c>
      <c r="D241" s="66">
        <v>0</v>
      </c>
      <c r="E241" s="66">
        <v>0</v>
      </c>
      <c r="F241" s="66">
        <v>0</v>
      </c>
      <c r="G241" s="66">
        <v>0</v>
      </c>
      <c r="H241" s="66">
        <v>0</v>
      </c>
      <c r="I241" s="66">
        <v>0</v>
      </c>
      <c r="J241" s="66">
        <v>0</v>
      </c>
      <c r="K241" s="258">
        <v>0</v>
      </c>
      <c r="L241" s="66">
        <v>3</v>
      </c>
      <c r="M241" s="66">
        <v>0</v>
      </c>
      <c r="N241" s="258">
        <v>0</v>
      </c>
      <c r="O241" s="258">
        <v>0</v>
      </c>
      <c r="P241" s="258">
        <f t="shared" si="3"/>
        <v>3</v>
      </c>
      <c r="Q241" s="154" t="str">
        <f>Master!AF48</f>
        <v>PITCAIRN ISLANDS</v>
      </c>
    </row>
    <row r="242" spans="2:17" ht="15.75" thickBot="1" x14ac:dyDescent="0.3">
      <c r="B242" s="154" t="str">
        <f>Master!AF49</f>
        <v>RWANDA</v>
      </c>
      <c r="C242" s="148" t="str">
        <f>Master!AG49</f>
        <v>RW</v>
      </c>
      <c r="D242" s="66">
        <v>0</v>
      </c>
      <c r="E242" s="66">
        <v>0</v>
      </c>
      <c r="F242" s="66">
        <v>0</v>
      </c>
      <c r="G242" s="66">
        <v>0</v>
      </c>
      <c r="H242" s="66">
        <v>0</v>
      </c>
      <c r="I242" s="66">
        <v>0</v>
      </c>
      <c r="J242" s="66">
        <v>0</v>
      </c>
      <c r="K242" s="258">
        <v>0</v>
      </c>
      <c r="L242" s="66">
        <v>0</v>
      </c>
      <c r="M242" s="66">
        <v>0</v>
      </c>
      <c r="N242" s="258">
        <v>0</v>
      </c>
      <c r="O242" s="258">
        <v>0</v>
      </c>
      <c r="P242" s="258">
        <f t="shared" si="3"/>
        <v>0</v>
      </c>
      <c r="Q242" s="154" t="str">
        <f>Master!AF49</f>
        <v>RWANDA</v>
      </c>
    </row>
    <row r="243" spans="2:17" ht="15.75" thickBot="1" x14ac:dyDescent="0.3">
      <c r="B243" s="154" t="str">
        <f>Master!AF50</f>
        <v>RUSSIA</v>
      </c>
      <c r="C243" s="148" t="str">
        <f>Master!AG50</f>
        <v>RS</v>
      </c>
      <c r="D243" s="66">
        <v>0</v>
      </c>
      <c r="E243" s="66">
        <v>0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258">
        <v>0</v>
      </c>
      <c r="L243" s="66">
        <v>0</v>
      </c>
      <c r="M243" s="66">
        <v>0</v>
      </c>
      <c r="N243" s="258">
        <v>0</v>
      </c>
      <c r="O243" s="258">
        <v>0</v>
      </c>
      <c r="P243" s="258">
        <f t="shared" si="3"/>
        <v>0</v>
      </c>
      <c r="Q243" s="154" t="str">
        <f>Master!AF50</f>
        <v>RUSSIA</v>
      </c>
    </row>
    <row r="244" spans="2:17" ht="15.75" thickBot="1" x14ac:dyDescent="0.3">
      <c r="B244" s="154" t="str">
        <f>Master!AF51</f>
        <v>SIERRA LEON</v>
      </c>
      <c r="C244" s="148" t="str">
        <f>Master!AG51</f>
        <v>SL</v>
      </c>
      <c r="D244" s="66">
        <v>0</v>
      </c>
      <c r="E244" s="66">
        <v>0</v>
      </c>
      <c r="F244" s="66">
        <v>0</v>
      </c>
      <c r="G244" s="66">
        <v>0</v>
      </c>
      <c r="H244" s="66">
        <v>3</v>
      </c>
      <c r="I244" s="66">
        <v>0</v>
      </c>
      <c r="J244" s="66">
        <v>0</v>
      </c>
      <c r="K244" s="258">
        <v>0</v>
      </c>
      <c r="L244" s="66">
        <v>0</v>
      </c>
      <c r="M244" s="66">
        <v>0</v>
      </c>
      <c r="N244" s="258">
        <v>0</v>
      </c>
      <c r="O244" s="258">
        <v>0</v>
      </c>
      <c r="P244" s="258">
        <f t="shared" si="3"/>
        <v>3</v>
      </c>
      <c r="Q244" s="154" t="str">
        <f>Master!AF51</f>
        <v>SIERRA LEON</v>
      </c>
    </row>
    <row r="245" spans="2:17" ht="15.75" thickBot="1" x14ac:dyDescent="0.3">
      <c r="B245" s="154" t="str">
        <f>Master!AF52</f>
        <v>SOMALIA</v>
      </c>
      <c r="C245" s="148" t="str">
        <f>Master!AG52</f>
        <v>SO</v>
      </c>
      <c r="D245" s="66">
        <v>0</v>
      </c>
      <c r="E245" s="66">
        <v>0</v>
      </c>
      <c r="F245" s="66">
        <v>0</v>
      </c>
      <c r="G245" s="66">
        <v>0</v>
      </c>
      <c r="H245" s="66">
        <v>0</v>
      </c>
      <c r="I245" s="66">
        <v>0</v>
      </c>
      <c r="J245" s="66">
        <v>0</v>
      </c>
      <c r="K245" s="258">
        <v>0</v>
      </c>
      <c r="L245" s="66">
        <v>0</v>
      </c>
      <c r="M245" s="66">
        <v>0</v>
      </c>
      <c r="N245" s="258">
        <v>0</v>
      </c>
      <c r="O245" s="258">
        <v>0</v>
      </c>
      <c r="P245" s="258">
        <f t="shared" si="3"/>
        <v>0</v>
      </c>
      <c r="Q245" s="154" t="str">
        <f>Master!AF52</f>
        <v>SOMALIA</v>
      </c>
    </row>
    <row r="246" spans="2:17" ht="15.75" thickBot="1" x14ac:dyDescent="0.3">
      <c r="B246" s="154" t="str">
        <f>Master!AF53</f>
        <v>SPAIN</v>
      </c>
      <c r="C246" s="148" t="str">
        <f>Master!AG53</f>
        <v>ES</v>
      </c>
      <c r="D246" s="66">
        <v>0</v>
      </c>
      <c r="E246" s="66">
        <v>0</v>
      </c>
      <c r="F246" s="66">
        <v>0</v>
      </c>
      <c r="G246" s="66">
        <v>0</v>
      </c>
      <c r="H246" s="66">
        <v>0</v>
      </c>
      <c r="I246" s="66">
        <v>0</v>
      </c>
      <c r="J246" s="66">
        <v>0</v>
      </c>
      <c r="K246" s="258">
        <v>0</v>
      </c>
      <c r="L246" s="66">
        <v>0</v>
      </c>
      <c r="M246" s="66">
        <v>0</v>
      </c>
      <c r="N246" s="258">
        <v>0</v>
      </c>
      <c r="O246" s="258">
        <v>0</v>
      </c>
      <c r="P246" s="258">
        <f t="shared" si="3"/>
        <v>0</v>
      </c>
      <c r="Q246" s="154" t="str">
        <f>Master!AF53</f>
        <v>SPAIN</v>
      </c>
    </row>
    <row r="247" spans="2:17" ht="15.75" thickBot="1" x14ac:dyDescent="0.3">
      <c r="B247" s="154" t="str">
        <f>Master!AF54</f>
        <v>SOUTH SUDAN</v>
      </c>
      <c r="C247" s="148" t="str">
        <f>Master!AG54</f>
        <v>SS</v>
      </c>
      <c r="D247" s="66">
        <v>0</v>
      </c>
      <c r="E247" s="66">
        <v>0</v>
      </c>
      <c r="F247" s="66">
        <v>0</v>
      </c>
      <c r="G247" s="66">
        <v>0</v>
      </c>
      <c r="H247" s="66">
        <v>0</v>
      </c>
      <c r="I247" s="66">
        <v>0</v>
      </c>
      <c r="J247" s="66">
        <v>0</v>
      </c>
      <c r="K247" s="258">
        <v>0</v>
      </c>
      <c r="L247" s="66">
        <v>0</v>
      </c>
      <c r="M247" s="66">
        <v>0</v>
      </c>
      <c r="N247" s="258">
        <v>0</v>
      </c>
      <c r="O247" s="258">
        <v>0</v>
      </c>
      <c r="P247" s="258">
        <f t="shared" si="3"/>
        <v>0</v>
      </c>
      <c r="Q247" s="154" t="str">
        <f>Master!AF54</f>
        <v>SOUTH SUDAN</v>
      </c>
    </row>
    <row r="248" spans="2:17" ht="15.75" thickBot="1" x14ac:dyDescent="0.3">
      <c r="B248" s="154" t="str">
        <f>Master!AF55</f>
        <v>SRI LANKA</v>
      </c>
      <c r="C248" s="148" t="str">
        <f>Master!AG55</f>
        <v>CE</v>
      </c>
      <c r="D248" s="66">
        <v>0</v>
      </c>
      <c r="E248" s="66">
        <v>0</v>
      </c>
      <c r="F248" s="66">
        <v>0</v>
      </c>
      <c r="G248" s="66">
        <v>0</v>
      </c>
      <c r="H248" s="66">
        <v>0</v>
      </c>
      <c r="I248" s="66">
        <v>0</v>
      </c>
      <c r="J248" s="66">
        <v>0</v>
      </c>
      <c r="K248" s="258">
        <v>0</v>
      </c>
      <c r="L248" s="66">
        <v>0</v>
      </c>
      <c r="M248" s="66">
        <v>0</v>
      </c>
      <c r="N248" s="258">
        <v>0</v>
      </c>
      <c r="O248" s="258">
        <v>0</v>
      </c>
      <c r="P248" s="258">
        <f t="shared" si="3"/>
        <v>0</v>
      </c>
      <c r="Q248" s="154" t="str">
        <f>Master!AF55</f>
        <v>SRI LANKA</v>
      </c>
    </row>
    <row r="249" spans="2:17" ht="15.75" thickBot="1" x14ac:dyDescent="0.3">
      <c r="B249" s="154" t="str">
        <f>Master!AF56</f>
        <v>SUDAN</v>
      </c>
      <c r="C249" s="148" t="str">
        <f>Master!AG56</f>
        <v>SU</v>
      </c>
      <c r="D249" s="66">
        <v>0</v>
      </c>
      <c r="E249" s="66">
        <v>0</v>
      </c>
      <c r="F249" s="66">
        <v>0</v>
      </c>
      <c r="G249" s="66">
        <v>0</v>
      </c>
      <c r="H249" s="66">
        <v>1</v>
      </c>
      <c r="I249" s="66">
        <v>0</v>
      </c>
      <c r="J249" s="66">
        <v>0</v>
      </c>
      <c r="K249" s="258">
        <v>0</v>
      </c>
      <c r="L249" s="66">
        <v>1</v>
      </c>
      <c r="M249" s="66">
        <v>0</v>
      </c>
      <c r="N249" s="258">
        <v>0</v>
      </c>
      <c r="O249" s="258">
        <v>0</v>
      </c>
      <c r="P249" s="258">
        <f t="shared" si="3"/>
        <v>2</v>
      </c>
      <c r="Q249" s="154" t="str">
        <f>Master!AF56</f>
        <v>SUDAN</v>
      </c>
    </row>
    <row r="250" spans="2:17" ht="15.75" thickBot="1" x14ac:dyDescent="0.3">
      <c r="B250" s="154" t="str">
        <f>Master!AF57</f>
        <v>SYRIA</v>
      </c>
      <c r="C250" s="148" t="str">
        <f>Master!AG57</f>
        <v>SY</v>
      </c>
      <c r="D250" s="66">
        <v>18</v>
      </c>
      <c r="E250" s="66">
        <v>7</v>
      </c>
      <c r="F250" s="66">
        <v>12</v>
      </c>
      <c r="G250" s="66">
        <v>26</v>
      </c>
      <c r="H250" s="66">
        <v>0</v>
      </c>
      <c r="I250" s="66">
        <v>0</v>
      </c>
      <c r="J250" s="66">
        <v>0</v>
      </c>
      <c r="K250" s="258">
        <v>7</v>
      </c>
      <c r="L250" s="66">
        <v>6</v>
      </c>
      <c r="M250" s="66">
        <v>0</v>
      </c>
      <c r="N250" s="258">
        <v>0</v>
      </c>
      <c r="O250" s="258">
        <v>0</v>
      </c>
      <c r="P250" s="258">
        <f t="shared" si="3"/>
        <v>76</v>
      </c>
      <c r="Q250" s="154" t="str">
        <f>Master!AF57</f>
        <v>SYRIA</v>
      </c>
    </row>
    <row r="251" spans="2:17" ht="15.75" thickBot="1" x14ac:dyDescent="0.3">
      <c r="B251" s="154" t="str">
        <f>Master!AF58</f>
        <v>TAJIKISTAN</v>
      </c>
      <c r="C251" s="148" t="str">
        <f>Master!AG58</f>
        <v>TI</v>
      </c>
      <c r="D251" s="66">
        <v>0</v>
      </c>
      <c r="E251" s="66">
        <v>0</v>
      </c>
      <c r="F251" s="66">
        <v>0</v>
      </c>
      <c r="G251" s="66">
        <v>0</v>
      </c>
      <c r="H251" s="66">
        <v>0</v>
      </c>
      <c r="I251" s="66">
        <v>0</v>
      </c>
      <c r="J251" s="66">
        <v>0</v>
      </c>
      <c r="K251" s="258">
        <v>0</v>
      </c>
      <c r="L251" s="66">
        <v>0</v>
      </c>
      <c r="M251" s="66">
        <v>0</v>
      </c>
      <c r="N251" s="258">
        <v>0</v>
      </c>
      <c r="O251" s="258">
        <v>0</v>
      </c>
      <c r="P251" s="258">
        <f t="shared" si="3"/>
        <v>0</v>
      </c>
      <c r="Q251" s="154" t="str">
        <f>Master!AF58</f>
        <v>TAJIKISTAN</v>
      </c>
    </row>
    <row r="252" spans="2:17" ht="15.75" thickBot="1" x14ac:dyDescent="0.3">
      <c r="B252" s="154" t="str">
        <f>Master!AF59</f>
        <v>TANZANIA</v>
      </c>
      <c r="C252" s="148" t="str">
        <f>Master!AG59</f>
        <v>TZ</v>
      </c>
      <c r="D252" s="66">
        <v>0</v>
      </c>
      <c r="E252" s="66">
        <v>0</v>
      </c>
      <c r="F252" s="66">
        <v>0</v>
      </c>
      <c r="G252" s="66">
        <v>0</v>
      </c>
      <c r="H252" s="66">
        <v>0</v>
      </c>
      <c r="I252" s="66">
        <v>0</v>
      </c>
      <c r="J252" s="66">
        <v>0</v>
      </c>
      <c r="K252" s="258">
        <v>0</v>
      </c>
      <c r="L252" s="66">
        <v>0</v>
      </c>
      <c r="M252" s="66">
        <v>0</v>
      </c>
      <c r="N252" s="258">
        <v>0</v>
      </c>
      <c r="O252" s="258">
        <v>0</v>
      </c>
      <c r="P252" s="258">
        <f t="shared" si="3"/>
        <v>0</v>
      </c>
      <c r="Q252" s="154" t="str">
        <f>Master!AF59</f>
        <v>TANZANIA</v>
      </c>
    </row>
    <row r="253" spans="2:17" ht="15.75" thickBot="1" x14ac:dyDescent="0.3">
      <c r="B253" s="154" t="str">
        <f>Master!AF60</f>
        <v>THAILAND</v>
      </c>
      <c r="C253" s="148" t="str">
        <f>Master!AG60</f>
        <v>TH</v>
      </c>
      <c r="D253" s="66">
        <v>0</v>
      </c>
      <c r="E253" s="66">
        <v>0</v>
      </c>
      <c r="F253" s="66">
        <v>0</v>
      </c>
      <c r="G253" s="66">
        <v>0</v>
      </c>
      <c r="H253" s="66">
        <v>0</v>
      </c>
      <c r="I253" s="66">
        <v>0</v>
      </c>
      <c r="J253" s="66">
        <v>0</v>
      </c>
      <c r="K253" s="258">
        <v>0</v>
      </c>
      <c r="L253" s="66">
        <v>0</v>
      </c>
      <c r="M253" s="66">
        <v>0</v>
      </c>
      <c r="N253" s="258">
        <v>0</v>
      </c>
      <c r="O253" s="258">
        <v>0</v>
      </c>
      <c r="P253" s="258">
        <f t="shared" si="3"/>
        <v>0</v>
      </c>
      <c r="Q253" s="154" t="str">
        <f>Master!AF60</f>
        <v>THAILAND</v>
      </c>
    </row>
    <row r="254" spans="2:17" ht="15.75" thickBot="1" x14ac:dyDescent="0.3">
      <c r="B254" s="154" t="str">
        <f>Master!AF61</f>
        <v>UGANDA</v>
      </c>
      <c r="C254" s="148" t="str">
        <f>Master!AG61</f>
        <v>UG</v>
      </c>
      <c r="D254" s="66">
        <v>0</v>
      </c>
      <c r="E254" s="66">
        <v>0</v>
      </c>
      <c r="F254" s="66">
        <v>0</v>
      </c>
      <c r="G254" s="66">
        <v>0</v>
      </c>
      <c r="H254" s="66">
        <v>0</v>
      </c>
      <c r="I254" s="66">
        <v>0</v>
      </c>
      <c r="J254" s="66">
        <v>0</v>
      </c>
      <c r="K254" s="258">
        <v>0</v>
      </c>
      <c r="L254" s="66">
        <v>0</v>
      </c>
      <c r="M254" s="66">
        <v>0</v>
      </c>
      <c r="N254" s="258">
        <v>0</v>
      </c>
      <c r="O254" s="258">
        <v>0</v>
      </c>
      <c r="P254" s="258">
        <f t="shared" si="3"/>
        <v>0</v>
      </c>
      <c r="Q254" s="154" t="str">
        <f>Master!AF61</f>
        <v>UGANDA</v>
      </c>
    </row>
    <row r="255" spans="2:17" ht="15.75" thickBot="1" x14ac:dyDescent="0.3">
      <c r="B255" s="154" t="str">
        <f>Master!AF62</f>
        <v>UKRAINE</v>
      </c>
      <c r="C255" s="148" t="str">
        <f>Master!AG62</f>
        <v>UP</v>
      </c>
      <c r="D255" s="66">
        <v>8</v>
      </c>
      <c r="E255" s="66">
        <v>13</v>
      </c>
      <c r="F255" s="66">
        <v>0</v>
      </c>
      <c r="G255" s="66">
        <v>18</v>
      </c>
      <c r="H255" s="66">
        <v>5</v>
      </c>
      <c r="I255" s="66">
        <v>0</v>
      </c>
      <c r="J255" s="66">
        <v>2</v>
      </c>
      <c r="K255" s="258">
        <v>8</v>
      </c>
      <c r="L255" s="66">
        <v>0</v>
      </c>
      <c r="M255" s="66">
        <v>0</v>
      </c>
      <c r="N255" s="258">
        <v>0</v>
      </c>
      <c r="O255" s="258">
        <v>0</v>
      </c>
      <c r="P255" s="258">
        <f t="shared" si="3"/>
        <v>54</v>
      </c>
      <c r="Q255" s="154" t="str">
        <f>Master!AF62</f>
        <v>UKRAINE</v>
      </c>
    </row>
    <row r="256" spans="2:17" ht="15.75" thickBot="1" x14ac:dyDescent="0.3">
      <c r="B256" s="154" t="str">
        <f>Master!AF63</f>
        <v>UZBEKISTAN</v>
      </c>
      <c r="C256" s="148" t="str">
        <f>Master!AG63</f>
        <v>UZ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0</v>
      </c>
      <c r="J256" s="66">
        <v>0</v>
      </c>
      <c r="K256" s="258">
        <v>0</v>
      </c>
      <c r="L256" s="66">
        <v>0</v>
      </c>
      <c r="M256" s="66">
        <v>0</v>
      </c>
      <c r="N256" s="258">
        <v>0</v>
      </c>
      <c r="O256" s="258">
        <v>0</v>
      </c>
      <c r="P256" s="258">
        <f t="shared" si="3"/>
        <v>0</v>
      </c>
      <c r="Q256" s="154" t="str">
        <f>Master!AF63</f>
        <v>UZBEKISTAN</v>
      </c>
    </row>
    <row r="257" spans="2:17" ht="15.75" thickBot="1" x14ac:dyDescent="0.3">
      <c r="B257" s="154" t="str">
        <f>Master!AF64</f>
        <v>VIETNAM</v>
      </c>
      <c r="C257" s="148" t="str">
        <f>Master!AG64</f>
        <v>VM</v>
      </c>
      <c r="D257" s="66">
        <v>0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258">
        <v>0</v>
      </c>
      <c r="L257" s="66">
        <v>0</v>
      </c>
      <c r="M257" s="66">
        <v>0</v>
      </c>
      <c r="N257" s="258">
        <v>0</v>
      </c>
      <c r="O257" s="258">
        <v>0</v>
      </c>
      <c r="P257" s="258">
        <f t="shared" si="3"/>
        <v>0</v>
      </c>
      <c r="Q257" s="154" t="str">
        <f>Master!AF64</f>
        <v>VIETNAM</v>
      </c>
    </row>
    <row r="258" spans="2:17" ht="15.75" thickBot="1" x14ac:dyDescent="0.3">
      <c r="B258" s="154" t="str">
        <f>Master!AF65</f>
        <v>ZAMBIA</v>
      </c>
      <c r="C258" s="148" t="str">
        <f>Master!AG65</f>
        <v>ZA</v>
      </c>
      <c r="D258" s="66">
        <v>0</v>
      </c>
      <c r="E258" s="66">
        <v>0</v>
      </c>
      <c r="F258" s="66">
        <v>0</v>
      </c>
      <c r="G258" s="66">
        <v>0</v>
      </c>
      <c r="H258" s="66">
        <v>0</v>
      </c>
      <c r="I258" s="66">
        <v>0</v>
      </c>
      <c r="J258" s="66">
        <v>0</v>
      </c>
      <c r="K258" s="258">
        <v>0</v>
      </c>
      <c r="L258" s="66">
        <v>0</v>
      </c>
      <c r="M258" s="66">
        <v>0</v>
      </c>
      <c r="N258" s="258">
        <v>0</v>
      </c>
      <c r="O258" s="258">
        <v>0</v>
      </c>
      <c r="P258" s="258">
        <f t="shared" si="3"/>
        <v>0</v>
      </c>
      <c r="Q258" s="154" t="str">
        <f>Master!AF65</f>
        <v>ZAMBIA</v>
      </c>
    </row>
    <row r="259" spans="2:17" ht="15.75" thickBot="1" x14ac:dyDescent="0.3">
      <c r="B259" s="154"/>
      <c r="C259" s="148"/>
      <c r="D259" s="66"/>
      <c r="E259" s="66"/>
      <c r="F259" s="66"/>
      <c r="G259" s="66"/>
      <c r="H259" s="66"/>
      <c r="I259" s="66"/>
      <c r="J259" s="66"/>
      <c r="K259" s="258"/>
      <c r="L259" s="66"/>
      <c r="M259" s="66"/>
      <c r="N259" s="258"/>
      <c r="O259" s="258"/>
      <c r="P259" s="258">
        <f>SUM(D259:O259)</f>
        <v>0</v>
      </c>
      <c r="Q259" s="154"/>
    </row>
    <row r="260" spans="2:17" ht="15.75" thickBot="1" x14ac:dyDescent="0.3">
      <c r="B260" s="205" t="s">
        <v>53</v>
      </c>
      <c r="C260" s="206"/>
      <c r="D260" s="23">
        <f>SUM(D200:D259)</f>
        <v>67</v>
      </c>
      <c r="E260" s="23">
        <f>SUM(E200:E259)</f>
        <v>39</v>
      </c>
      <c r="F260" s="23">
        <v>35</v>
      </c>
      <c r="G260" s="23">
        <v>76</v>
      </c>
      <c r="H260" s="23">
        <v>39</v>
      </c>
      <c r="I260" s="23">
        <v>11</v>
      </c>
      <c r="J260" s="23">
        <v>15</v>
      </c>
      <c r="K260" s="249">
        <v>30</v>
      </c>
      <c r="L260" s="23">
        <v>21</v>
      </c>
      <c r="M260" s="23">
        <v>4</v>
      </c>
      <c r="N260" s="249">
        <v>10</v>
      </c>
      <c r="O260" s="249">
        <v>14</v>
      </c>
      <c r="P260" s="249">
        <f>SUM(D260:O260)</f>
        <v>361</v>
      </c>
      <c r="Q260" s="24" t="s">
        <v>53</v>
      </c>
    </row>
    <row r="261" spans="2:17" ht="15.75" thickBot="1" x14ac:dyDescent="0.3">
      <c r="K261" s="263"/>
      <c r="N261" s="263"/>
      <c r="O261" s="263"/>
    </row>
    <row r="262" spans="2:17" ht="15.75" thickBot="1" x14ac:dyDescent="0.3">
      <c r="B262" s="298" t="s">
        <v>3</v>
      </c>
      <c r="C262" s="274"/>
      <c r="D262" s="208" t="s">
        <v>10</v>
      </c>
      <c r="E262" s="208"/>
      <c r="F262" s="208"/>
      <c r="G262" s="208"/>
      <c r="H262" s="208"/>
      <c r="I262" s="208"/>
      <c r="J262" s="209"/>
      <c r="K262" s="275"/>
      <c r="L262" s="209"/>
      <c r="M262" s="209"/>
      <c r="N262" s="307"/>
      <c r="O262" s="358"/>
      <c r="P262" s="209"/>
      <c r="Q262" s="210"/>
    </row>
    <row r="263" spans="2:17" ht="15.75" thickBot="1" x14ac:dyDescent="0.3">
      <c r="B263" s="199"/>
      <c r="C263" s="200"/>
      <c r="D263" s="148" t="s">
        <v>19</v>
      </c>
      <c r="E263" s="148" t="s">
        <v>20</v>
      </c>
      <c r="F263" s="148" t="s">
        <v>21</v>
      </c>
      <c r="G263" s="148" t="s">
        <v>22</v>
      </c>
      <c r="H263" s="148" t="s">
        <v>23</v>
      </c>
      <c r="I263" s="148" t="s">
        <v>24</v>
      </c>
      <c r="J263" s="148" t="s">
        <v>25</v>
      </c>
      <c r="K263" s="148" t="s">
        <v>26</v>
      </c>
      <c r="L263" s="148" t="s">
        <v>27</v>
      </c>
      <c r="M263" s="148" t="s">
        <v>28</v>
      </c>
      <c r="N263" s="148" t="s">
        <v>29</v>
      </c>
      <c r="O263" s="148" t="s">
        <v>30</v>
      </c>
      <c r="P263" s="212" t="s">
        <v>40</v>
      </c>
      <c r="Q263" s="203"/>
    </row>
    <row r="264" spans="2:17" ht="15.75" thickBot="1" x14ac:dyDescent="0.3">
      <c r="B264" s="201"/>
      <c r="C264" s="202"/>
      <c r="D264" s="148">
        <v>10</v>
      </c>
      <c r="E264" s="148">
        <v>11</v>
      </c>
      <c r="F264" s="148">
        <v>12</v>
      </c>
      <c r="G264" s="148">
        <v>1</v>
      </c>
      <c r="H264" s="148">
        <v>2</v>
      </c>
      <c r="I264" s="148">
        <v>3</v>
      </c>
      <c r="J264" s="148">
        <v>4</v>
      </c>
      <c r="K264" s="148">
        <v>5</v>
      </c>
      <c r="L264" s="148">
        <v>6</v>
      </c>
      <c r="M264" s="148">
        <v>7</v>
      </c>
      <c r="N264" s="148">
        <v>8</v>
      </c>
      <c r="O264" s="148">
        <v>9</v>
      </c>
      <c r="P264" s="213"/>
      <c r="Q264" s="204"/>
    </row>
    <row r="265" spans="2:17" ht="15.75" thickBot="1" x14ac:dyDescent="0.3">
      <c r="B265" s="154" t="str">
        <f>Master!AF7</f>
        <v>AFGHANISTAN</v>
      </c>
      <c r="C265" s="148" t="str">
        <f>Master!AG7</f>
        <v>AF</v>
      </c>
      <c r="D265" s="66">
        <v>0</v>
      </c>
      <c r="E265" s="258">
        <v>0</v>
      </c>
      <c r="F265" s="258">
        <v>0</v>
      </c>
      <c r="G265" s="258">
        <v>0</v>
      </c>
      <c r="H265" s="258">
        <v>0</v>
      </c>
      <c r="I265" s="258">
        <v>0</v>
      </c>
      <c r="J265" s="258">
        <v>0</v>
      </c>
      <c r="K265" s="258">
        <v>0</v>
      </c>
      <c r="L265" s="258">
        <v>0</v>
      </c>
      <c r="M265" s="258">
        <v>9</v>
      </c>
      <c r="N265" s="258">
        <v>5</v>
      </c>
      <c r="O265" s="258">
        <v>0</v>
      </c>
      <c r="P265" s="258">
        <f>SUM(D265:O265)</f>
        <v>14</v>
      </c>
      <c r="Q265" s="154" t="str">
        <f>Master!AF7</f>
        <v>AFGHANISTAN</v>
      </c>
    </row>
    <row r="266" spans="2:17" ht="15.75" thickBot="1" x14ac:dyDescent="0.3">
      <c r="B266" s="154" t="str">
        <f>Master!AF8</f>
        <v>ARMENIA</v>
      </c>
      <c r="C266" s="148" t="str">
        <f>Master!AG8</f>
        <v>AM</v>
      </c>
      <c r="D266" s="258">
        <v>0</v>
      </c>
      <c r="E266" s="258">
        <v>0</v>
      </c>
      <c r="F266" s="258">
        <v>0</v>
      </c>
      <c r="G266" s="258">
        <v>0</v>
      </c>
      <c r="H266" s="258">
        <v>0</v>
      </c>
      <c r="I266" s="258">
        <v>0</v>
      </c>
      <c r="J266" s="258">
        <v>0</v>
      </c>
      <c r="K266" s="258">
        <v>0</v>
      </c>
      <c r="L266" s="258">
        <v>0</v>
      </c>
      <c r="M266" s="258">
        <v>0</v>
      </c>
      <c r="N266" s="258">
        <v>0</v>
      </c>
      <c r="O266" s="258">
        <v>0</v>
      </c>
      <c r="P266" s="258">
        <f t="shared" ref="P266:P323" si="4">SUM(D266:O266)</f>
        <v>0</v>
      </c>
      <c r="Q266" s="154" t="str">
        <f>Master!AF8</f>
        <v>ARMENIA</v>
      </c>
    </row>
    <row r="267" spans="2:17" ht="15.75" thickBot="1" x14ac:dyDescent="0.3">
      <c r="B267" s="154" t="s">
        <v>780</v>
      </c>
      <c r="C267" s="148" t="s">
        <v>333</v>
      </c>
      <c r="D267" s="258">
        <v>0</v>
      </c>
      <c r="E267" s="258">
        <v>0</v>
      </c>
      <c r="F267" s="258">
        <v>0</v>
      </c>
      <c r="G267" s="258">
        <v>0</v>
      </c>
      <c r="H267" s="258">
        <v>0</v>
      </c>
      <c r="I267" s="258">
        <v>0</v>
      </c>
      <c r="J267" s="258">
        <v>0</v>
      </c>
      <c r="K267" s="258">
        <v>0</v>
      </c>
      <c r="L267" s="258">
        <v>0</v>
      </c>
      <c r="M267" s="258">
        <v>0</v>
      </c>
      <c r="N267" s="258">
        <v>0</v>
      </c>
      <c r="O267" s="258">
        <v>0</v>
      </c>
      <c r="P267" s="258">
        <f t="shared" si="4"/>
        <v>0</v>
      </c>
      <c r="Q267" s="154" t="s">
        <v>780</v>
      </c>
    </row>
    <row r="268" spans="2:17" ht="15.75" thickBot="1" x14ac:dyDescent="0.3">
      <c r="B268" s="154" t="str">
        <f>Master!AF10</f>
        <v>BELARUS</v>
      </c>
      <c r="C268" s="148" t="str">
        <f>Master!AG10</f>
        <v>BO</v>
      </c>
      <c r="D268" s="258">
        <v>0</v>
      </c>
      <c r="E268" s="258">
        <v>0</v>
      </c>
      <c r="F268" s="258">
        <v>0</v>
      </c>
      <c r="G268" s="258">
        <v>0</v>
      </c>
      <c r="H268" s="258">
        <v>0</v>
      </c>
      <c r="I268" s="258">
        <v>0</v>
      </c>
      <c r="J268" s="258">
        <v>0</v>
      </c>
      <c r="K268" s="258">
        <v>0</v>
      </c>
      <c r="L268" s="258">
        <v>0</v>
      </c>
      <c r="M268" s="258">
        <v>0</v>
      </c>
      <c r="N268" s="258">
        <v>0</v>
      </c>
      <c r="O268" s="258">
        <v>0</v>
      </c>
      <c r="P268" s="258">
        <f t="shared" si="4"/>
        <v>0</v>
      </c>
      <c r="Q268" s="154" t="str">
        <f>Master!AF10</f>
        <v>BELARUS</v>
      </c>
    </row>
    <row r="269" spans="2:17" ht="15.75" thickBot="1" x14ac:dyDescent="0.3">
      <c r="B269" s="154" t="str">
        <f>Master!AF11</f>
        <v>BURMA</v>
      </c>
      <c r="C269" s="148" t="str">
        <f>Master!AG11</f>
        <v>BM</v>
      </c>
      <c r="D269" s="258">
        <v>0</v>
      </c>
      <c r="E269" s="258">
        <v>0</v>
      </c>
      <c r="F269" s="258">
        <v>0</v>
      </c>
      <c r="G269" s="258">
        <v>0</v>
      </c>
      <c r="H269" s="258">
        <v>0</v>
      </c>
      <c r="I269" s="258">
        <v>0</v>
      </c>
      <c r="J269" s="258">
        <v>0</v>
      </c>
      <c r="K269" s="258">
        <v>0</v>
      </c>
      <c r="L269" s="258">
        <v>0</v>
      </c>
      <c r="M269" s="258">
        <v>0</v>
      </c>
      <c r="N269" s="258">
        <v>0</v>
      </c>
      <c r="O269" s="258">
        <v>0</v>
      </c>
      <c r="P269" s="258">
        <f t="shared" si="4"/>
        <v>0</v>
      </c>
      <c r="Q269" s="154" t="str">
        <f>Master!AF11</f>
        <v>BURMA</v>
      </c>
    </row>
    <row r="270" spans="2:17" ht="15.75" thickBot="1" x14ac:dyDescent="0.3">
      <c r="B270" s="154" t="str">
        <f>Master!AF12</f>
        <v>BHUTAN</v>
      </c>
      <c r="C270" s="148" t="str">
        <f>Master!AG12</f>
        <v>BT</v>
      </c>
      <c r="D270" s="258">
        <v>0</v>
      </c>
      <c r="E270" s="258">
        <v>0</v>
      </c>
      <c r="F270" s="258">
        <v>0</v>
      </c>
      <c r="G270" s="258">
        <v>0</v>
      </c>
      <c r="H270" s="258">
        <v>0</v>
      </c>
      <c r="I270" s="258">
        <v>0</v>
      </c>
      <c r="J270" s="258">
        <v>0</v>
      </c>
      <c r="K270" s="258">
        <v>0</v>
      </c>
      <c r="L270" s="258">
        <v>0</v>
      </c>
      <c r="M270" s="258">
        <v>0</v>
      </c>
      <c r="N270" s="258">
        <v>0</v>
      </c>
      <c r="O270" s="258">
        <v>0</v>
      </c>
      <c r="P270" s="258">
        <f t="shared" si="4"/>
        <v>0</v>
      </c>
      <c r="Q270" s="154" t="str">
        <f>Master!AF12</f>
        <v>BHUTAN</v>
      </c>
    </row>
    <row r="271" spans="2:17" ht="15.75" thickBot="1" x14ac:dyDescent="0.3">
      <c r="B271" s="154" t="s">
        <v>779</v>
      </c>
      <c r="C271" s="148" t="s">
        <v>287</v>
      </c>
      <c r="D271" s="258">
        <v>0</v>
      </c>
      <c r="E271" s="258">
        <v>0</v>
      </c>
      <c r="F271" s="258">
        <v>0</v>
      </c>
      <c r="G271" s="258">
        <v>0</v>
      </c>
      <c r="H271" s="258">
        <v>0</v>
      </c>
      <c r="I271" s="258">
        <v>0</v>
      </c>
      <c r="J271" s="258">
        <v>0</v>
      </c>
      <c r="K271" s="258">
        <v>0</v>
      </c>
      <c r="L271" s="258">
        <v>0</v>
      </c>
      <c r="M271" s="258">
        <v>0</v>
      </c>
      <c r="N271" s="258">
        <v>0</v>
      </c>
      <c r="O271" s="258">
        <v>0</v>
      </c>
      <c r="P271" s="258">
        <f t="shared" si="4"/>
        <v>0</v>
      </c>
      <c r="Q271" s="154" t="s">
        <v>779</v>
      </c>
    </row>
    <row r="272" spans="2:17" ht="15.75" thickBot="1" x14ac:dyDescent="0.3">
      <c r="B272" s="154" t="str">
        <f>Master!AF14</f>
        <v>BURUNDI</v>
      </c>
      <c r="C272" s="148" t="str">
        <f>Master!AG14</f>
        <v>BY</v>
      </c>
      <c r="D272" s="258">
        <v>0</v>
      </c>
      <c r="E272" s="258">
        <v>0</v>
      </c>
      <c r="F272" s="258">
        <v>0</v>
      </c>
      <c r="G272" s="258">
        <v>0</v>
      </c>
      <c r="H272" s="258">
        <v>0</v>
      </c>
      <c r="I272" s="258">
        <v>0</v>
      </c>
      <c r="J272" s="258">
        <v>0</v>
      </c>
      <c r="K272" s="258">
        <v>0</v>
      </c>
      <c r="L272" s="258">
        <v>0</v>
      </c>
      <c r="M272" s="258">
        <v>0</v>
      </c>
      <c r="N272" s="258">
        <v>0</v>
      </c>
      <c r="O272" s="258">
        <v>0</v>
      </c>
      <c r="P272" s="258">
        <f t="shared" si="4"/>
        <v>0</v>
      </c>
      <c r="Q272" s="154" t="str">
        <f>Master!AF14</f>
        <v>BURUNDI</v>
      </c>
    </row>
    <row r="273" spans="2:17" ht="15.75" thickBot="1" x14ac:dyDescent="0.3">
      <c r="B273" s="154" t="str">
        <f>Master!AF15</f>
        <v>CAMEROUN</v>
      </c>
      <c r="C273" s="148" t="str">
        <f>Master!AG15</f>
        <v>CM</v>
      </c>
      <c r="D273" s="258">
        <v>0</v>
      </c>
      <c r="E273" s="258">
        <v>0</v>
      </c>
      <c r="F273" s="258">
        <v>0</v>
      </c>
      <c r="G273" s="258">
        <v>0</v>
      </c>
      <c r="H273" s="258">
        <v>0</v>
      </c>
      <c r="I273" s="258">
        <v>0</v>
      </c>
      <c r="J273" s="258">
        <v>0</v>
      </c>
      <c r="K273" s="258">
        <v>0</v>
      </c>
      <c r="L273" s="258">
        <v>0</v>
      </c>
      <c r="M273" s="258">
        <v>0</v>
      </c>
      <c r="N273" s="258">
        <v>0</v>
      </c>
      <c r="O273" s="258">
        <v>0</v>
      </c>
      <c r="P273" s="258">
        <f t="shared" si="4"/>
        <v>0</v>
      </c>
      <c r="Q273" s="154" t="str">
        <f>Master!AF15</f>
        <v>CAMEROUN</v>
      </c>
    </row>
    <row r="274" spans="2:17" ht="15.75" thickBot="1" x14ac:dyDescent="0.3">
      <c r="B274" s="154" t="str">
        <f>Master!AF16</f>
        <v>CENTRAL AFR REP</v>
      </c>
      <c r="C274" s="148" t="str">
        <f>Master!AG16</f>
        <v>CT</v>
      </c>
      <c r="D274" s="258">
        <v>0</v>
      </c>
      <c r="E274" s="258">
        <v>0</v>
      </c>
      <c r="F274" s="258">
        <v>0</v>
      </c>
      <c r="G274" s="258">
        <v>0</v>
      </c>
      <c r="H274" s="258">
        <v>0</v>
      </c>
      <c r="I274" s="258">
        <v>0</v>
      </c>
      <c r="J274" s="258">
        <v>0</v>
      </c>
      <c r="K274" s="258">
        <v>0</v>
      </c>
      <c r="L274" s="258">
        <v>0</v>
      </c>
      <c r="M274" s="258">
        <v>0</v>
      </c>
      <c r="N274" s="258">
        <v>0</v>
      </c>
      <c r="O274" s="258">
        <v>0</v>
      </c>
      <c r="P274" s="258">
        <f t="shared" si="4"/>
        <v>0</v>
      </c>
      <c r="Q274" s="154" t="str">
        <f>Master!AF16</f>
        <v>CENTRAL AFR REP</v>
      </c>
    </row>
    <row r="275" spans="2:17" ht="15.75" thickBot="1" x14ac:dyDescent="0.3">
      <c r="B275" s="154" t="str">
        <f>Master!AF17</f>
        <v>CHINA</v>
      </c>
      <c r="C275" s="148" t="str">
        <f>Master!AG17</f>
        <v>CH</v>
      </c>
      <c r="D275" s="258">
        <v>0</v>
      </c>
      <c r="E275" s="258">
        <v>0</v>
      </c>
      <c r="F275" s="258">
        <v>0</v>
      </c>
      <c r="G275" s="258">
        <v>0</v>
      </c>
      <c r="H275" s="258">
        <v>0</v>
      </c>
      <c r="I275" s="258">
        <v>0</v>
      </c>
      <c r="J275" s="258">
        <v>0</v>
      </c>
      <c r="K275" s="258">
        <v>0</v>
      </c>
      <c r="L275" s="258">
        <v>0</v>
      </c>
      <c r="M275" s="258">
        <v>0</v>
      </c>
      <c r="N275" s="258">
        <v>0</v>
      </c>
      <c r="O275" s="258">
        <v>0</v>
      </c>
      <c r="P275" s="258">
        <f t="shared" si="4"/>
        <v>0</v>
      </c>
      <c r="Q275" s="154" t="str">
        <f>Master!AF17</f>
        <v>CHINA</v>
      </c>
    </row>
    <row r="276" spans="2:17" ht="15.75" thickBot="1" x14ac:dyDescent="0.3">
      <c r="B276" s="154" t="str">
        <f>Master!AF18</f>
        <v>DEM REP OF CONGO</v>
      </c>
      <c r="C276" s="148" t="str">
        <f>Master!AG18</f>
        <v>CG</v>
      </c>
      <c r="D276" s="258">
        <v>0</v>
      </c>
      <c r="E276" s="258">
        <v>0</v>
      </c>
      <c r="F276" s="258">
        <v>0</v>
      </c>
      <c r="G276" s="258">
        <v>0</v>
      </c>
      <c r="H276" s="258">
        <v>0</v>
      </c>
      <c r="I276" s="258">
        <v>0</v>
      </c>
      <c r="J276" s="258">
        <v>0</v>
      </c>
      <c r="K276" s="258">
        <v>0</v>
      </c>
      <c r="L276" s="258">
        <v>0</v>
      </c>
      <c r="M276" s="258">
        <v>0</v>
      </c>
      <c r="N276" s="258">
        <v>0</v>
      </c>
      <c r="O276" s="258">
        <v>0</v>
      </c>
      <c r="P276" s="258">
        <f t="shared" si="4"/>
        <v>0</v>
      </c>
      <c r="Q276" s="154" t="str">
        <f>Master!AF18</f>
        <v>DEM REP OF CONGO</v>
      </c>
    </row>
    <row r="277" spans="2:17" ht="15.75" thickBot="1" x14ac:dyDescent="0.3">
      <c r="B277" s="154" t="str">
        <f>Master!AF19</f>
        <v>COLUMBIA</v>
      </c>
      <c r="C277" s="148" t="str">
        <f>Master!AG19</f>
        <v>CO</v>
      </c>
      <c r="D277" s="66">
        <v>0</v>
      </c>
      <c r="E277" s="66">
        <v>0</v>
      </c>
      <c r="F277" s="66">
        <v>0</v>
      </c>
      <c r="G277" s="66">
        <v>0</v>
      </c>
      <c r="H277" s="66">
        <v>0</v>
      </c>
      <c r="I277" s="66">
        <v>0</v>
      </c>
      <c r="J277" s="66">
        <v>0</v>
      </c>
      <c r="K277" s="258">
        <v>0</v>
      </c>
      <c r="L277" s="66">
        <v>0</v>
      </c>
      <c r="M277" s="66">
        <v>0</v>
      </c>
      <c r="N277" s="258">
        <v>0</v>
      </c>
      <c r="O277" s="258">
        <v>0</v>
      </c>
      <c r="P277" s="258">
        <f t="shared" si="4"/>
        <v>0</v>
      </c>
      <c r="Q277" s="154" t="str">
        <f>Master!AF19</f>
        <v>COLUMBIA</v>
      </c>
    </row>
    <row r="278" spans="2:17" ht="15.75" thickBot="1" x14ac:dyDescent="0.3">
      <c r="B278" s="154" t="str">
        <f>Master!AF20</f>
        <v>CONGO</v>
      </c>
      <c r="C278" s="148" t="str">
        <f>Master!AG20</f>
        <v>CF</v>
      </c>
      <c r="D278" s="66">
        <v>0</v>
      </c>
      <c r="E278" s="66">
        <v>0</v>
      </c>
      <c r="F278" s="66">
        <v>0</v>
      </c>
      <c r="G278" s="66">
        <v>0</v>
      </c>
      <c r="H278" s="66">
        <v>0</v>
      </c>
      <c r="I278" s="66">
        <v>0</v>
      </c>
      <c r="J278" s="66">
        <v>0</v>
      </c>
      <c r="K278" s="258">
        <v>0</v>
      </c>
      <c r="L278" s="66">
        <v>0</v>
      </c>
      <c r="M278" s="66">
        <v>0</v>
      </c>
      <c r="N278" s="258">
        <v>0</v>
      </c>
      <c r="O278" s="258">
        <v>0</v>
      </c>
      <c r="P278" s="258">
        <f t="shared" si="4"/>
        <v>0</v>
      </c>
      <c r="Q278" s="154" t="str">
        <f>Master!AF20</f>
        <v>CONGO</v>
      </c>
    </row>
    <row r="279" spans="2:17" ht="15.75" thickBot="1" x14ac:dyDescent="0.3">
      <c r="B279" s="154" t="str">
        <f>Master!AF21</f>
        <v>CUBA</v>
      </c>
      <c r="C279" s="148" t="str">
        <f>Master!AG21</f>
        <v>CU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258">
        <v>0</v>
      </c>
      <c r="L279" s="66">
        <v>0</v>
      </c>
      <c r="M279" s="66">
        <v>0</v>
      </c>
      <c r="N279" s="258">
        <v>0</v>
      </c>
      <c r="O279" s="258">
        <v>0</v>
      </c>
      <c r="P279" s="258">
        <f t="shared" si="4"/>
        <v>0</v>
      </c>
      <c r="Q279" s="154" t="str">
        <f>Master!AF21</f>
        <v>CUBA</v>
      </c>
    </row>
    <row r="280" spans="2:17" ht="15.75" thickBot="1" x14ac:dyDescent="0.3">
      <c r="B280" s="154" t="str">
        <f>Master!AF22</f>
        <v>CUBAN ENTRANT</v>
      </c>
      <c r="C280" s="148" t="str">
        <f>Master!AG22</f>
        <v>CUE</v>
      </c>
      <c r="D280" s="66">
        <v>0</v>
      </c>
      <c r="E280" s="66">
        <v>0</v>
      </c>
      <c r="F280" s="66">
        <v>0</v>
      </c>
      <c r="G280" s="66">
        <v>0</v>
      </c>
      <c r="H280" s="66">
        <v>0</v>
      </c>
      <c r="I280" s="66">
        <v>0</v>
      </c>
      <c r="J280" s="66">
        <v>0</v>
      </c>
      <c r="K280" s="258">
        <v>0</v>
      </c>
      <c r="L280" s="66">
        <v>0</v>
      </c>
      <c r="M280" s="66">
        <v>0</v>
      </c>
      <c r="N280" s="258">
        <v>0</v>
      </c>
      <c r="O280" s="258">
        <v>0</v>
      </c>
      <c r="P280" s="258">
        <f t="shared" si="4"/>
        <v>0</v>
      </c>
      <c r="Q280" s="154" t="str">
        <f>Master!AF22</f>
        <v>CUBAN ENTRANT</v>
      </c>
    </row>
    <row r="281" spans="2:17" ht="15.75" thickBot="1" x14ac:dyDescent="0.3">
      <c r="B281" s="154" t="str">
        <f>Master!AF23</f>
        <v>ECUADOR</v>
      </c>
      <c r="C281" s="148" t="str">
        <f>Master!AG23</f>
        <v>EC</v>
      </c>
      <c r="D281" s="66">
        <v>0</v>
      </c>
      <c r="E281" s="66">
        <v>0</v>
      </c>
      <c r="F281" s="66">
        <v>0</v>
      </c>
      <c r="G281" s="66">
        <v>0</v>
      </c>
      <c r="H281" s="66">
        <v>0</v>
      </c>
      <c r="I281" s="66">
        <v>0</v>
      </c>
      <c r="J281" s="66">
        <v>0</v>
      </c>
      <c r="K281" s="258">
        <v>0</v>
      </c>
      <c r="L281" s="66">
        <v>0</v>
      </c>
      <c r="M281" s="66">
        <v>0</v>
      </c>
      <c r="N281" s="258">
        <v>0</v>
      </c>
      <c r="O281" s="258">
        <v>0</v>
      </c>
      <c r="P281" s="258">
        <f t="shared" si="4"/>
        <v>0</v>
      </c>
      <c r="Q281" s="154" t="str">
        <f>Master!AF23</f>
        <v>ECUADOR</v>
      </c>
    </row>
    <row r="282" spans="2:17" ht="15.75" thickBot="1" x14ac:dyDescent="0.3">
      <c r="B282" s="154" t="str">
        <f>Master!AF24</f>
        <v>EGYPT</v>
      </c>
      <c r="C282" s="148" t="str">
        <f>Master!AG24</f>
        <v>EG</v>
      </c>
      <c r="D282" s="66">
        <v>0</v>
      </c>
      <c r="E282" s="66">
        <v>0</v>
      </c>
      <c r="F282" s="66">
        <v>0</v>
      </c>
      <c r="G282" s="66">
        <v>0</v>
      </c>
      <c r="H282" s="66">
        <v>0</v>
      </c>
      <c r="I282" s="66">
        <v>0</v>
      </c>
      <c r="J282" s="66">
        <v>0</v>
      </c>
      <c r="K282" s="258">
        <v>0</v>
      </c>
      <c r="L282" s="66">
        <v>0</v>
      </c>
      <c r="M282" s="66">
        <v>0</v>
      </c>
      <c r="N282" s="258">
        <v>0</v>
      </c>
      <c r="O282" s="258">
        <v>0</v>
      </c>
      <c r="P282" s="258">
        <f t="shared" si="4"/>
        <v>0</v>
      </c>
      <c r="Q282" s="154" t="str">
        <f>Master!AF24</f>
        <v>EGYPT</v>
      </c>
    </row>
    <row r="283" spans="2:17" ht="15.75" thickBot="1" x14ac:dyDescent="0.3">
      <c r="B283" s="154" t="str">
        <f>Master!AF25</f>
        <v>ERITREA</v>
      </c>
      <c r="C283" s="148" t="str">
        <f>Master!AG25</f>
        <v>ER</v>
      </c>
      <c r="D283" s="66">
        <v>0</v>
      </c>
      <c r="E283" s="66">
        <v>0</v>
      </c>
      <c r="F283" s="66">
        <v>0</v>
      </c>
      <c r="G283" s="66">
        <v>0</v>
      </c>
      <c r="H283" s="66">
        <v>0</v>
      </c>
      <c r="I283" s="66">
        <v>0</v>
      </c>
      <c r="J283" s="66">
        <v>0</v>
      </c>
      <c r="K283" s="258">
        <v>0</v>
      </c>
      <c r="L283" s="66">
        <v>0</v>
      </c>
      <c r="M283" s="66">
        <v>0</v>
      </c>
      <c r="N283" s="258">
        <v>0</v>
      </c>
      <c r="O283" s="258">
        <v>0</v>
      </c>
      <c r="P283" s="258">
        <f t="shared" si="4"/>
        <v>0</v>
      </c>
      <c r="Q283" s="154" t="str">
        <f>Master!AF25</f>
        <v>ERITREA</v>
      </c>
    </row>
    <row r="284" spans="2:17" ht="15.75" thickBot="1" x14ac:dyDescent="0.3">
      <c r="B284" s="154" t="str">
        <f>Master!AF26</f>
        <v>ETHIOPIA</v>
      </c>
      <c r="C284" s="148" t="str">
        <f>Master!AG26</f>
        <v>ET</v>
      </c>
      <c r="D284" s="66">
        <v>0</v>
      </c>
      <c r="E284" s="66">
        <v>0</v>
      </c>
      <c r="F284" s="66">
        <v>0</v>
      </c>
      <c r="G284" s="66">
        <v>0</v>
      </c>
      <c r="H284" s="66">
        <v>0</v>
      </c>
      <c r="I284" s="66">
        <v>0</v>
      </c>
      <c r="J284" s="66">
        <v>0</v>
      </c>
      <c r="K284" s="258">
        <v>0</v>
      </c>
      <c r="L284" s="66">
        <v>0</v>
      </c>
      <c r="M284" s="66">
        <v>0</v>
      </c>
      <c r="N284" s="258">
        <v>0</v>
      </c>
      <c r="O284" s="258">
        <v>0</v>
      </c>
      <c r="P284" s="258">
        <f t="shared" si="4"/>
        <v>0</v>
      </c>
      <c r="Q284" s="154" t="str">
        <f>Master!AF26</f>
        <v>ETHIOPIA</v>
      </c>
    </row>
    <row r="285" spans="2:17" ht="15.75" thickBot="1" x14ac:dyDescent="0.3">
      <c r="B285" s="154" t="str">
        <f>Master!AF27</f>
        <v>FRANCE</v>
      </c>
      <c r="C285" s="148" t="str">
        <f>Master!AG27</f>
        <v>FR</v>
      </c>
      <c r="D285" s="66">
        <v>0</v>
      </c>
      <c r="E285" s="66">
        <v>0</v>
      </c>
      <c r="F285" s="66">
        <v>0</v>
      </c>
      <c r="G285" s="66">
        <v>0</v>
      </c>
      <c r="H285" s="66">
        <v>0</v>
      </c>
      <c r="I285" s="66">
        <v>0</v>
      </c>
      <c r="J285" s="66">
        <v>0</v>
      </c>
      <c r="K285" s="258">
        <v>0</v>
      </c>
      <c r="L285" s="66">
        <v>0</v>
      </c>
      <c r="M285" s="66">
        <v>0</v>
      </c>
      <c r="N285" s="258">
        <v>0</v>
      </c>
      <c r="O285" s="258">
        <v>0</v>
      </c>
      <c r="P285" s="258">
        <f t="shared" si="4"/>
        <v>0</v>
      </c>
      <c r="Q285" s="154" t="str">
        <f>Master!AF27</f>
        <v>FRANCE</v>
      </c>
    </row>
    <row r="286" spans="2:17" ht="15.75" thickBot="1" x14ac:dyDescent="0.3">
      <c r="B286" s="154" t="str">
        <f>Master!AF28</f>
        <v>GUINEA</v>
      </c>
      <c r="C286" s="148" t="str">
        <f>Master!AG28</f>
        <v>GV</v>
      </c>
      <c r="D286" s="66">
        <v>0</v>
      </c>
      <c r="E286" s="66">
        <v>0</v>
      </c>
      <c r="F286" s="66">
        <v>0</v>
      </c>
      <c r="G286" s="66">
        <v>0</v>
      </c>
      <c r="H286" s="66">
        <v>0</v>
      </c>
      <c r="I286" s="66">
        <v>0</v>
      </c>
      <c r="J286" s="66">
        <v>0</v>
      </c>
      <c r="K286" s="258">
        <v>0</v>
      </c>
      <c r="L286" s="66">
        <v>0</v>
      </c>
      <c r="M286" s="66">
        <v>0</v>
      </c>
      <c r="N286" s="258">
        <v>0</v>
      </c>
      <c r="O286" s="258">
        <v>0</v>
      </c>
      <c r="P286" s="258">
        <f t="shared" si="4"/>
        <v>0</v>
      </c>
      <c r="Q286" s="154" t="str">
        <f>Master!AF28</f>
        <v>GUINEA</v>
      </c>
    </row>
    <row r="287" spans="2:17" ht="15.75" thickBot="1" x14ac:dyDescent="0.3">
      <c r="B287" s="154" t="str">
        <f>Master!AF29</f>
        <v>HAITI</v>
      </c>
      <c r="C287" s="148" t="str">
        <f>Master!AG29</f>
        <v>HA</v>
      </c>
      <c r="D287" s="66">
        <v>0</v>
      </c>
      <c r="E287" s="66">
        <v>0</v>
      </c>
      <c r="F287" s="66">
        <v>0</v>
      </c>
      <c r="G287" s="66">
        <v>0</v>
      </c>
      <c r="H287" s="66">
        <v>0</v>
      </c>
      <c r="I287" s="66">
        <v>0</v>
      </c>
      <c r="J287" s="66">
        <v>0</v>
      </c>
      <c r="K287" s="258">
        <v>0</v>
      </c>
      <c r="L287" s="66">
        <v>0</v>
      </c>
      <c r="M287" s="66">
        <v>0</v>
      </c>
      <c r="N287" s="258">
        <v>0</v>
      </c>
      <c r="O287" s="258">
        <v>0</v>
      </c>
      <c r="P287" s="258">
        <f t="shared" si="4"/>
        <v>0</v>
      </c>
      <c r="Q287" s="154" t="str">
        <f>Master!AF29</f>
        <v>HAITI</v>
      </c>
    </row>
    <row r="288" spans="2:17" ht="15.75" thickBot="1" x14ac:dyDescent="0.3">
      <c r="B288" s="154" t="str">
        <f>Master!AF30</f>
        <v>INDIA</v>
      </c>
      <c r="C288" s="148" t="str">
        <f>Master!AG30</f>
        <v>IN</v>
      </c>
      <c r="D288" s="66">
        <v>0</v>
      </c>
      <c r="E288" s="66">
        <v>0</v>
      </c>
      <c r="F288" s="66">
        <v>0</v>
      </c>
      <c r="G288" s="66">
        <v>0</v>
      </c>
      <c r="H288" s="66">
        <v>0</v>
      </c>
      <c r="I288" s="66">
        <v>0</v>
      </c>
      <c r="J288" s="66">
        <v>0</v>
      </c>
      <c r="K288" s="258">
        <v>0</v>
      </c>
      <c r="L288" s="66">
        <v>0</v>
      </c>
      <c r="M288" s="66">
        <v>0</v>
      </c>
      <c r="N288" s="258">
        <v>0</v>
      </c>
      <c r="O288" s="258">
        <v>0</v>
      </c>
      <c r="P288" s="258">
        <f t="shared" si="4"/>
        <v>0</v>
      </c>
      <c r="Q288" s="154" t="str">
        <f>Master!AF30</f>
        <v>INDIA</v>
      </c>
    </row>
    <row r="289" spans="2:17" ht="15.75" thickBot="1" x14ac:dyDescent="0.3">
      <c r="B289" s="154" t="str">
        <f>Master!AF31</f>
        <v>INDONESIA</v>
      </c>
      <c r="C289" s="148" t="str">
        <f>Master!AG31</f>
        <v>ID</v>
      </c>
      <c r="D289" s="66">
        <v>0</v>
      </c>
      <c r="E289" s="66">
        <v>0</v>
      </c>
      <c r="F289" s="66">
        <v>0</v>
      </c>
      <c r="G289" s="66">
        <v>0</v>
      </c>
      <c r="H289" s="66">
        <v>0</v>
      </c>
      <c r="I289" s="66">
        <v>0</v>
      </c>
      <c r="J289" s="66">
        <v>0</v>
      </c>
      <c r="K289" s="258">
        <v>0</v>
      </c>
      <c r="L289" s="66">
        <v>0</v>
      </c>
      <c r="M289" s="66">
        <v>0</v>
      </c>
      <c r="N289" s="258">
        <v>0</v>
      </c>
      <c r="O289" s="258">
        <v>0</v>
      </c>
      <c r="P289" s="258">
        <f t="shared" si="4"/>
        <v>0</v>
      </c>
      <c r="Q289" s="154" t="str">
        <f>Master!AF31</f>
        <v>INDONESIA</v>
      </c>
    </row>
    <row r="290" spans="2:17" ht="15.75" thickBot="1" x14ac:dyDescent="0.3">
      <c r="B290" s="154" t="str">
        <f>Master!AF32</f>
        <v>IRAN</v>
      </c>
      <c r="C290" s="148" t="str">
        <f>Master!AG32</f>
        <v>IR</v>
      </c>
      <c r="D290" s="66">
        <v>0</v>
      </c>
      <c r="E290" s="66">
        <v>0</v>
      </c>
      <c r="F290" s="66">
        <v>0</v>
      </c>
      <c r="G290" s="66">
        <v>0</v>
      </c>
      <c r="H290" s="66">
        <v>0</v>
      </c>
      <c r="I290" s="66">
        <v>0</v>
      </c>
      <c r="J290" s="66">
        <v>0</v>
      </c>
      <c r="K290" s="258">
        <v>0</v>
      </c>
      <c r="L290" s="66">
        <v>0</v>
      </c>
      <c r="M290" s="66">
        <v>0</v>
      </c>
      <c r="N290" s="258">
        <v>0</v>
      </c>
      <c r="O290" s="258">
        <v>0</v>
      </c>
      <c r="P290" s="258">
        <f t="shared" si="4"/>
        <v>0</v>
      </c>
      <c r="Q290" s="154" t="str">
        <f>Master!AF32</f>
        <v>IRAN</v>
      </c>
    </row>
    <row r="291" spans="2:17" ht="15.75" thickBot="1" x14ac:dyDescent="0.3">
      <c r="B291" s="154" t="str">
        <f>Master!AF33</f>
        <v>IRAQ</v>
      </c>
      <c r="C291" s="148" t="str">
        <f>Master!AG33</f>
        <v>IZ</v>
      </c>
      <c r="D291" s="66">
        <v>0</v>
      </c>
      <c r="E291" s="66">
        <v>0</v>
      </c>
      <c r="F291" s="66">
        <v>0</v>
      </c>
      <c r="G291" s="66">
        <v>0</v>
      </c>
      <c r="H291" s="66">
        <v>0</v>
      </c>
      <c r="I291" s="66">
        <v>0</v>
      </c>
      <c r="J291" s="66">
        <v>0</v>
      </c>
      <c r="K291" s="258">
        <v>0</v>
      </c>
      <c r="L291" s="66">
        <v>0</v>
      </c>
      <c r="M291" s="66">
        <v>0</v>
      </c>
      <c r="N291" s="258">
        <v>0</v>
      </c>
      <c r="O291" s="258">
        <v>0</v>
      </c>
      <c r="P291" s="258">
        <f t="shared" si="4"/>
        <v>0</v>
      </c>
      <c r="Q291" s="154" t="str">
        <f>Master!AF33</f>
        <v>IRAQ</v>
      </c>
    </row>
    <row r="292" spans="2:17" ht="15.75" thickBot="1" x14ac:dyDescent="0.3">
      <c r="B292" s="154" t="str">
        <f>Master!AF34</f>
        <v>IVORY COAST</v>
      </c>
      <c r="C292" s="148" t="str">
        <f>Master!AG34</f>
        <v>IV</v>
      </c>
      <c r="D292" s="66">
        <v>0</v>
      </c>
      <c r="E292" s="66">
        <v>0</v>
      </c>
      <c r="F292" s="66">
        <v>0</v>
      </c>
      <c r="G292" s="66">
        <v>0</v>
      </c>
      <c r="H292" s="66">
        <v>0</v>
      </c>
      <c r="I292" s="66">
        <v>0</v>
      </c>
      <c r="J292" s="66">
        <v>0</v>
      </c>
      <c r="K292" s="258">
        <v>0</v>
      </c>
      <c r="L292" s="66">
        <v>0</v>
      </c>
      <c r="M292" s="66">
        <v>0</v>
      </c>
      <c r="N292" s="258">
        <v>0</v>
      </c>
      <c r="O292" s="258">
        <v>0</v>
      </c>
      <c r="P292" s="258">
        <f t="shared" si="4"/>
        <v>0</v>
      </c>
      <c r="Q292" s="154" t="str">
        <f>Master!AF34</f>
        <v>IVORY COAST</v>
      </c>
    </row>
    <row r="293" spans="2:17" ht="15.75" thickBot="1" x14ac:dyDescent="0.3">
      <c r="B293" s="154" t="str">
        <f>Master!AF35</f>
        <v>JORDAN</v>
      </c>
      <c r="C293" s="148" t="str">
        <f>Master!AG35</f>
        <v>JO</v>
      </c>
      <c r="D293" s="66">
        <v>0</v>
      </c>
      <c r="E293" s="66">
        <v>0</v>
      </c>
      <c r="F293" s="66">
        <v>0</v>
      </c>
      <c r="G293" s="66">
        <v>0</v>
      </c>
      <c r="H293" s="66">
        <v>0</v>
      </c>
      <c r="I293" s="66">
        <v>0</v>
      </c>
      <c r="J293" s="66">
        <v>0</v>
      </c>
      <c r="K293" s="258">
        <v>0</v>
      </c>
      <c r="L293" s="66">
        <v>0</v>
      </c>
      <c r="M293" s="66">
        <v>0</v>
      </c>
      <c r="N293" s="258">
        <v>0</v>
      </c>
      <c r="O293" s="258">
        <v>0</v>
      </c>
      <c r="P293" s="258">
        <f t="shared" si="4"/>
        <v>0</v>
      </c>
      <c r="Q293" s="154" t="str">
        <f>Master!AF35</f>
        <v>JORDAN</v>
      </c>
    </row>
    <row r="294" spans="2:17" ht="15.75" thickBot="1" x14ac:dyDescent="0.3">
      <c r="B294" s="154" t="str">
        <f>Master!AF36</f>
        <v>KAZAKHSTAN</v>
      </c>
      <c r="C294" s="148" t="str">
        <f>Master!AG36</f>
        <v>KZ</v>
      </c>
      <c r="D294" s="66">
        <v>0</v>
      </c>
      <c r="E294" s="66">
        <v>0</v>
      </c>
      <c r="F294" s="66">
        <v>0</v>
      </c>
      <c r="G294" s="66">
        <v>0</v>
      </c>
      <c r="H294" s="66">
        <v>0</v>
      </c>
      <c r="I294" s="66">
        <v>0</v>
      </c>
      <c r="J294" s="66">
        <v>0</v>
      </c>
      <c r="K294" s="258">
        <v>0</v>
      </c>
      <c r="L294" s="66">
        <v>0</v>
      </c>
      <c r="M294" s="66">
        <v>0</v>
      </c>
      <c r="N294" s="258">
        <v>0</v>
      </c>
      <c r="O294" s="258">
        <v>0</v>
      </c>
      <c r="P294" s="258">
        <f t="shared" si="4"/>
        <v>0</v>
      </c>
      <c r="Q294" s="154" t="str">
        <f>Master!AF36</f>
        <v>KAZAKHSTAN</v>
      </c>
    </row>
    <row r="295" spans="2:17" ht="15.75" thickBot="1" x14ac:dyDescent="0.3">
      <c r="B295" s="154" t="str">
        <f>Master!AF37</f>
        <v>KENYA</v>
      </c>
      <c r="C295" s="148" t="str">
        <f>Master!AG37</f>
        <v>KE</v>
      </c>
      <c r="D295" s="66">
        <v>0</v>
      </c>
      <c r="E295" s="66">
        <v>0</v>
      </c>
      <c r="F295" s="66">
        <v>0</v>
      </c>
      <c r="G295" s="66">
        <v>0</v>
      </c>
      <c r="H295" s="66">
        <v>0</v>
      </c>
      <c r="I295" s="66">
        <v>0</v>
      </c>
      <c r="J295" s="66">
        <v>0</v>
      </c>
      <c r="K295" s="258">
        <v>0</v>
      </c>
      <c r="L295" s="66">
        <v>0</v>
      </c>
      <c r="M295" s="66">
        <v>0</v>
      </c>
      <c r="N295" s="258">
        <v>0</v>
      </c>
      <c r="O295" s="258">
        <v>0</v>
      </c>
      <c r="P295" s="258">
        <f t="shared" si="4"/>
        <v>0</v>
      </c>
      <c r="Q295" s="154" t="str">
        <f>Master!AF37</f>
        <v>KENYA</v>
      </c>
    </row>
    <row r="296" spans="2:17" ht="15.75" thickBot="1" x14ac:dyDescent="0.3">
      <c r="B296" s="154" t="str">
        <f>Master!AF38</f>
        <v>LEBANON</v>
      </c>
      <c r="C296" s="148" t="str">
        <f>Master!AG38</f>
        <v>LE</v>
      </c>
      <c r="D296" s="66">
        <v>0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258">
        <v>0</v>
      </c>
      <c r="L296" s="66">
        <v>0</v>
      </c>
      <c r="M296" s="66">
        <v>0</v>
      </c>
      <c r="N296" s="258">
        <v>0</v>
      </c>
      <c r="O296" s="258">
        <v>0</v>
      </c>
      <c r="P296" s="258">
        <f t="shared" si="4"/>
        <v>0</v>
      </c>
      <c r="Q296" s="154" t="str">
        <f>Master!AF38</f>
        <v>LEBANON</v>
      </c>
    </row>
    <row r="297" spans="2:17" ht="15.75" thickBot="1" x14ac:dyDescent="0.3">
      <c r="B297" s="154" t="str">
        <f>Master!AF39</f>
        <v>LIBERIA</v>
      </c>
      <c r="C297" s="148" t="str">
        <f>Master!AG39</f>
        <v>LI</v>
      </c>
      <c r="D297" s="66">
        <v>0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258">
        <v>0</v>
      </c>
      <c r="L297" s="66">
        <v>0</v>
      </c>
      <c r="M297" s="66">
        <v>0</v>
      </c>
      <c r="N297" s="258">
        <v>0</v>
      </c>
      <c r="O297" s="258">
        <v>0</v>
      </c>
      <c r="P297" s="258">
        <f t="shared" si="4"/>
        <v>0</v>
      </c>
      <c r="Q297" s="154" t="str">
        <f>Master!AF39</f>
        <v>LIBERIA</v>
      </c>
    </row>
    <row r="298" spans="2:17" ht="15.75" thickBot="1" x14ac:dyDescent="0.3">
      <c r="B298" s="154" t="str">
        <f>Master!AF40</f>
        <v>LIBYA</v>
      </c>
      <c r="C298" s="148" t="str">
        <f>Master!AG40</f>
        <v>LY</v>
      </c>
      <c r="D298" s="66">
        <v>0</v>
      </c>
      <c r="E298" s="66">
        <v>0</v>
      </c>
      <c r="F298" s="66">
        <v>0</v>
      </c>
      <c r="G298" s="66">
        <v>0</v>
      </c>
      <c r="H298" s="66">
        <v>0</v>
      </c>
      <c r="I298" s="66">
        <v>0</v>
      </c>
      <c r="J298" s="66">
        <v>0</v>
      </c>
      <c r="K298" s="258">
        <v>0</v>
      </c>
      <c r="L298" s="66">
        <v>0</v>
      </c>
      <c r="M298" s="66">
        <v>0</v>
      </c>
      <c r="N298" s="258">
        <v>0</v>
      </c>
      <c r="O298" s="258">
        <v>0</v>
      </c>
      <c r="P298" s="258">
        <f t="shared" si="4"/>
        <v>0</v>
      </c>
      <c r="Q298" s="154" t="str">
        <f>Master!AF40</f>
        <v>LIBYA</v>
      </c>
    </row>
    <row r="299" spans="2:17" ht="15.75" thickBot="1" x14ac:dyDescent="0.3">
      <c r="B299" s="154" t="str">
        <f>Master!AF41</f>
        <v>MOLDOVA</v>
      </c>
      <c r="C299" s="148" t="str">
        <f>Master!AG41</f>
        <v>MD</v>
      </c>
      <c r="D299" s="66">
        <v>0</v>
      </c>
      <c r="E299" s="66">
        <v>0</v>
      </c>
      <c r="F299" s="66">
        <v>0</v>
      </c>
      <c r="G299" s="66">
        <v>0</v>
      </c>
      <c r="H299" s="66">
        <v>0</v>
      </c>
      <c r="I299" s="66">
        <v>0</v>
      </c>
      <c r="J299" s="66">
        <v>0</v>
      </c>
      <c r="K299" s="258">
        <v>0</v>
      </c>
      <c r="L299" s="66">
        <v>0</v>
      </c>
      <c r="M299" s="66">
        <v>0</v>
      </c>
      <c r="N299" s="258">
        <v>0</v>
      </c>
      <c r="O299" s="258">
        <v>0</v>
      </c>
      <c r="P299" s="258">
        <f t="shared" si="4"/>
        <v>0</v>
      </c>
      <c r="Q299" s="154" t="str">
        <f>Master!AF41</f>
        <v>MOLDOVA</v>
      </c>
    </row>
    <row r="300" spans="2:17" ht="15.75" thickBot="1" x14ac:dyDescent="0.3">
      <c r="B300" s="154" t="str">
        <f>Master!AF42</f>
        <v>MALI</v>
      </c>
      <c r="C300" s="148" t="str">
        <f>Master!AG42</f>
        <v>ML</v>
      </c>
      <c r="D300" s="66">
        <v>0</v>
      </c>
      <c r="E300" s="66">
        <v>0</v>
      </c>
      <c r="F300" s="66">
        <v>0</v>
      </c>
      <c r="G300" s="66">
        <v>0</v>
      </c>
      <c r="H300" s="66">
        <v>0</v>
      </c>
      <c r="I300" s="66">
        <v>0</v>
      </c>
      <c r="J300" s="66">
        <v>0</v>
      </c>
      <c r="K300" s="258">
        <v>0</v>
      </c>
      <c r="L300" s="66">
        <v>0</v>
      </c>
      <c r="M300" s="66">
        <v>0</v>
      </c>
      <c r="N300" s="258">
        <v>0</v>
      </c>
      <c r="O300" s="258">
        <v>0</v>
      </c>
      <c r="P300" s="258">
        <f t="shared" si="4"/>
        <v>0</v>
      </c>
      <c r="Q300" s="154" t="str">
        <f>Master!AF42</f>
        <v>MALI</v>
      </c>
    </row>
    <row r="301" spans="2:17" ht="15.75" thickBot="1" x14ac:dyDescent="0.3">
      <c r="B301" s="154" t="str">
        <f>Master!AF43</f>
        <v>MALAYSIA</v>
      </c>
      <c r="C301" s="148" t="str">
        <f>Master!AG43</f>
        <v>MY</v>
      </c>
      <c r="D301" s="66">
        <v>0</v>
      </c>
      <c r="E301" s="66">
        <v>0</v>
      </c>
      <c r="F301" s="66">
        <v>0</v>
      </c>
      <c r="G301" s="66">
        <v>0</v>
      </c>
      <c r="H301" s="66">
        <v>0</v>
      </c>
      <c r="I301" s="66">
        <v>0</v>
      </c>
      <c r="J301" s="66">
        <v>0</v>
      </c>
      <c r="K301" s="258">
        <v>0</v>
      </c>
      <c r="L301" s="66">
        <v>0</v>
      </c>
      <c r="M301" s="66">
        <v>0</v>
      </c>
      <c r="N301" s="258">
        <v>0</v>
      </c>
      <c r="O301" s="258">
        <v>0</v>
      </c>
      <c r="P301" s="258">
        <f t="shared" si="4"/>
        <v>0</v>
      </c>
      <c r="Q301" s="154" t="str">
        <f>Master!AF43</f>
        <v>MALAYSIA</v>
      </c>
    </row>
    <row r="302" spans="2:17" ht="15.75" thickBot="1" x14ac:dyDescent="0.3">
      <c r="B302" s="154" t="str">
        <f>Master!AF44</f>
        <v>NAMIBIA</v>
      </c>
      <c r="C302" s="148" t="str">
        <f>Master!AG44</f>
        <v>WA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6">
        <v>0</v>
      </c>
      <c r="J302" s="66">
        <v>0</v>
      </c>
      <c r="K302" s="258">
        <v>0</v>
      </c>
      <c r="L302" s="66">
        <v>0</v>
      </c>
      <c r="M302" s="66">
        <v>0</v>
      </c>
      <c r="N302" s="258">
        <v>0</v>
      </c>
      <c r="O302" s="258">
        <v>0</v>
      </c>
      <c r="P302" s="258">
        <f t="shared" si="4"/>
        <v>0</v>
      </c>
      <c r="Q302" s="154" t="str">
        <f>Master!AF44</f>
        <v>NAMIBIA</v>
      </c>
    </row>
    <row r="303" spans="2:17" ht="15.75" thickBot="1" x14ac:dyDescent="0.3">
      <c r="B303" s="154" t="str">
        <f>Master!AF45</f>
        <v>NEPAL</v>
      </c>
      <c r="C303" s="148" t="str">
        <f>Master!AG45</f>
        <v>NP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258">
        <v>0</v>
      </c>
      <c r="L303" s="66">
        <v>0</v>
      </c>
      <c r="M303" s="66">
        <v>0</v>
      </c>
      <c r="N303" s="258">
        <v>0</v>
      </c>
      <c r="O303" s="258">
        <v>0</v>
      </c>
      <c r="P303" s="258">
        <f t="shared" si="4"/>
        <v>0</v>
      </c>
      <c r="Q303" s="154" t="str">
        <f>Master!AF45</f>
        <v>NEPAL</v>
      </c>
    </row>
    <row r="304" spans="2:17" ht="15.75" thickBot="1" x14ac:dyDescent="0.3">
      <c r="B304" s="154" t="str">
        <f>Master!AF46</f>
        <v>NIGERIA</v>
      </c>
      <c r="C304" s="148" t="str">
        <f>Master!AG46</f>
        <v>NI</v>
      </c>
      <c r="D304" s="258">
        <v>0</v>
      </c>
      <c r="E304" s="258">
        <v>0</v>
      </c>
      <c r="F304" s="258">
        <v>0</v>
      </c>
      <c r="G304" s="258">
        <v>0</v>
      </c>
      <c r="H304" s="258">
        <v>0</v>
      </c>
      <c r="I304" s="258">
        <v>0</v>
      </c>
      <c r="J304" s="258">
        <v>0</v>
      </c>
      <c r="K304" s="258">
        <v>1</v>
      </c>
      <c r="L304" s="258">
        <v>0</v>
      </c>
      <c r="M304" s="258">
        <v>0</v>
      </c>
      <c r="N304" s="258">
        <v>0</v>
      </c>
      <c r="O304" s="258">
        <v>0</v>
      </c>
      <c r="P304" s="258">
        <f t="shared" si="4"/>
        <v>1</v>
      </c>
      <c r="Q304" s="154" t="str">
        <f>Master!AF46</f>
        <v>NIGERIA</v>
      </c>
    </row>
    <row r="305" spans="2:17" ht="15.75" thickBot="1" x14ac:dyDescent="0.3">
      <c r="B305" s="154" t="str">
        <f>Master!AF47</f>
        <v>PAKISTAN</v>
      </c>
      <c r="C305" s="148" t="str">
        <f>Master!AG47</f>
        <v>PK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258">
        <v>0</v>
      </c>
      <c r="L305" s="66">
        <v>0</v>
      </c>
      <c r="M305" s="66">
        <v>0</v>
      </c>
      <c r="N305" s="258">
        <v>0</v>
      </c>
      <c r="O305" s="258">
        <v>0</v>
      </c>
      <c r="P305" s="258">
        <f t="shared" si="4"/>
        <v>0</v>
      </c>
      <c r="Q305" s="154" t="str">
        <f>Master!AF47</f>
        <v>PAKISTAN</v>
      </c>
    </row>
    <row r="306" spans="2:17" ht="15.75" thickBot="1" x14ac:dyDescent="0.3">
      <c r="B306" s="154" t="str">
        <f>Master!AF48</f>
        <v>PITCAIRN ISLANDS</v>
      </c>
      <c r="C306" s="148" t="str">
        <f>Master!AG48</f>
        <v>PN</v>
      </c>
      <c r="D306" s="66">
        <v>0</v>
      </c>
      <c r="E306" s="66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258">
        <v>0</v>
      </c>
      <c r="L306" s="66">
        <v>0</v>
      </c>
      <c r="M306" s="66">
        <v>0</v>
      </c>
      <c r="N306" s="258">
        <v>0</v>
      </c>
      <c r="O306" s="258">
        <v>0</v>
      </c>
      <c r="P306" s="258">
        <f t="shared" si="4"/>
        <v>0</v>
      </c>
      <c r="Q306" s="154" t="str">
        <f>Master!AF48</f>
        <v>PITCAIRN ISLANDS</v>
      </c>
    </row>
    <row r="307" spans="2:17" ht="15.75" thickBot="1" x14ac:dyDescent="0.3">
      <c r="B307" s="154" t="str">
        <f>Master!AF49</f>
        <v>RWANDA</v>
      </c>
      <c r="C307" s="148" t="str">
        <f>Master!AG49</f>
        <v>RW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66">
        <v>0</v>
      </c>
      <c r="J307" s="66">
        <v>0</v>
      </c>
      <c r="K307" s="258">
        <v>0</v>
      </c>
      <c r="L307" s="66">
        <v>0</v>
      </c>
      <c r="M307" s="66">
        <v>0</v>
      </c>
      <c r="N307" s="258">
        <v>0</v>
      </c>
      <c r="O307" s="258">
        <v>0</v>
      </c>
      <c r="P307" s="258">
        <f t="shared" si="4"/>
        <v>0</v>
      </c>
      <c r="Q307" s="154" t="str">
        <f>Master!AF49</f>
        <v>RWANDA</v>
      </c>
    </row>
    <row r="308" spans="2:17" ht="15.75" thickBot="1" x14ac:dyDescent="0.3">
      <c r="B308" s="154" t="str">
        <f>Master!AF50</f>
        <v>RUSSIA</v>
      </c>
      <c r="C308" s="148" t="str">
        <f>Master!AG50</f>
        <v>RS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258">
        <v>0</v>
      </c>
      <c r="L308" s="66">
        <v>0</v>
      </c>
      <c r="M308" s="66">
        <v>0</v>
      </c>
      <c r="N308" s="258">
        <v>0</v>
      </c>
      <c r="O308" s="258">
        <v>0</v>
      </c>
      <c r="P308" s="258">
        <f t="shared" si="4"/>
        <v>0</v>
      </c>
      <c r="Q308" s="154" t="str">
        <f>Master!AF50</f>
        <v>RUSSIA</v>
      </c>
    </row>
    <row r="309" spans="2:17" ht="15.75" thickBot="1" x14ac:dyDescent="0.3">
      <c r="B309" s="154" t="str">
        <f>Master!AF51</f>
        <v>SIERRA LEON</v>
      </c>
      <c r="C309" s="148" t="str">
        <f>Master!AG51</f>
        <v>SL</v>
      </c>
      <c r="D309" s="66">
        <v>0</v>
      </c>
      <c r="E309" s="66">
        <v>0</v>
      </c>
      <c r="F309" s="66">
        <v>0</v>
      </c>
      <c r="G309" s="66">
        <v>0</v>
      </c>
      <c r="H309" s="66">
        <v>0</v>
      </c>
      <c r="I309" s="66">
        <v>0</v>
      </c>
      <c r="J309" s="66">
        <v>0</v>
      </c>
      <c r="K309" s="258">
        <v>0</v>
      </c>
      <c r="L309" s="66">
        <v>0</v>
      </c>
      <c r="M309" s="66">
        <v>0</v>
      </c>
      <c r="N309" s="258">
        <v>0</v>
      </c>
      <c r="O309" s="258">
        <v>0</v>
      </c>
      <c r="P309" s="258">
        <f t="shared" si="4"/>
        <v>0</v>
      </c>
      <c r="Q309" s="154" t="str">
        <f>Master!AF51</f>
        <v>SIERRA LEON</v>
      </c>
    </row>
    <row r="310" spans="2:17" ht="15.75" thickBot="1" x14ac:dyDescent="0.3">
      <c r="B310" s="154" t="str">
        <f>Master!AF52</f>
        <v>SOMALIA</v>
      </c>
      <c r="C310" s="148" t="str">
        <f>Master!AG52</f>
        <v>SO</v>
      </c>
      <c r="D310" s="66">
        <v>0</v>
      </c>
      <c r="E310" s="66">
        <v>0</v>
      </c>
      <c r="F310" s="66">
        <v>0</v>
      </c>
      <c r="G310" s="66">
        <v>0</v>
      </c>
      <c r="H310" s="66">
        <v>0</v>
      </c>
      <c r="I310" s="66">
        <v>0</v>
      </c>
      <c r="J310" s="66">
        <v>0</v>
      </c>
      <c r="K310" s="258">
        <v>0</v>
      </c>
      <c r="L310" s="66">
        <v>0</v>
      </c>
      <c r="M310" s="66">
        <v>0</v>
      </c>
      <c r="N310" s="258">
        <v>0</v>
      </c>
      <c r="O310" s="258">
        <v>0</v>
      </c>
      <c r="P310" s="258">
        <f t="shared" si="4"/>
        <v>0</v>
      </c>
      <c r="Q310" s="154" t="str">
        <f>Master!AF52</f>
        <v>SOMALIA</v>
      </c>
    </row>
    <row r="311" spans="2:17" ht="15.75" thickBot="1" x14ac:dyDescent="0.3">
      <c r="B311" s="154" t="str">
        <f>Master!AF53</f>
        <v>SPAIN</v>
      </c>
      <c r="C311" s="148" t="str">
        <f>Master!AG53</f>
        <v>ES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66">
        <v>0</v>
      </c>
      <c r="J311" s="66">
        <v>0</v>
      </c>
      <c r="K311" s="258">
        <v>0</v>
      </c>
      <c r="L311" s="66">
        <v>0</v>
      </c>
      <c r="M311" s="66">
        <v>0</v>
      </c>
      <c r="N311" s="258">
        <v>0</v>
      </c>
      <c r="O311" s="258">
        <v>0</v>
      </c>
      <c r="P311" s="258">
        <f t="shared" si="4"/>
        <v>0</v>
      </c>
      <c r="Q311" s="154" t="str">
        <f>Master!AF53</f>
        <v>SPAIN</v>
      </c>
    </row>
    <row r="312" spans="2:17" ht="15.75" thickBot="1" x14ac:dyDescent="0.3">
      <c r="B312" s="154" t="str">
        <f>Master!AF54</f>
        <v>SOUTH SUDAN</v>
      </c>
      <c r="C312" s="148" t="str">
        <f>Master!AG54</f>
        <v>SS</v>
      </c>
      <c r="D312" s="66">
        <v>0</v>
      </c>
      <c r="E312" s="66">
        <v>0</v>
      </c>
      <c r="F312" s="66">
        <v>0</v>
      </c>
      <c r="G312" s="66">
        <v>0</v>
      </c>
      <c r="H312" s="66">
        <v>0</v>
      </c>
      <c r="I312" s="66">
        <v>0</v>
      </c>
      <c r="J312" s="66">
        <v>0</v>
      </c>
      <c r="K312" s="258">
        <v>0</v>
      </c>
      <c r="L312" s="66">
        <v>0</v>
      </c>
      <c r="M312" s="66">
        <v>0</v>
      </c>
      <c r="N312" s="258">
        <v>0</v>
      </c>
      <c r="O312" s="258">
        <v>0</v>
      </c>
      <c r="P312" s="258">
        <f t="shared" si="4"/>
        <v>0</v>
      </c>
      <c r="Q312" s="154" t="str">
        <f>Master!AF54</f>
        <v>SOUTH SUDAN</v>
      </c>
    </row>
    <row r="313" spans="2:17" ht="15.75" thickBot="1" x14ac:dyDescent="0.3">
      <c r="B313" s="154" t="str">
        <f>Master!AF55</f>
        <v>SRI LANKA</v>
      </c>
      <c r="C313" s="148" t="str">
        <f>Master!AG55</f>
        <v>CE</v>
      </c>
      <c r="D313" s="66">
        <v>0</v>
      </c>
      <c r="E313" s="66">
        <v>0</v>
      </c>
      <c r="F313" s="66">
        <v>0</v>
      </c>
      <c r="G313" s="66">
        <v>0</v>
      </c>
      <c r="H313" s="66">
        <v>0</v>
      </c>
      <c r="I313" s="66">
        <v>0</v>
      </c>
      <c r="J313" s="66">
        <v>0</v>
      </c>
      <c r="K313" s="258">
        <v>0</v>
      </c>
      <c r="L313" s="66">
        <v>0</v>
      </c>
      <c r="M313" s="66">
        <v>0</v>
      </c>
      <c r="N313" s="258">
        <v>0</v>
      </c>
      <c r="O313" s="258">
        <v>0</v>
      </c>
      <c r="P313" s="258">
        <f t="shared" si="4"/>
        <v>0</v>
      </c>
      <c r="Q313" s="154" t="str">
        <f>Master!AF55</f>
        <v>SRI LANKA</v>
      </c>
    </row>
    <row r="314" spans="2:17" ht="15.75" thickBot="1" x14ac:dyDescent="0.3">
      <c r="B314" s="154" t="str">
        <f>Master!AF56</f>
        <v>SUDAN</v>
      </c>
      <c r="C314" s="148" t="str">
        <f>Master!AG56</f>
        <v>SU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66">
        <v>0</v>
      </c>
      <c r="J314" s="66">
        <v>2</v>
      </c>
      <c r="K314" s="258">
        <v>0</v>
      </c>
      <c r="L314" s="66">
        <v>0</v>
      </c>
      <c r="M314" s="66">
        <v>0</v>
      </c>
      <c r="N314" s="258">
        <v>0</v>
      </c>
      <c r="O314" s="258">
        <v>0</v>
      </c>
      <c r="P314" s="258">
        <f t="shared" si="4"/>
        <v>2</v>
      </c>
      <c r="Q314" s="154" t="str">
        <f>Master!AF56</f>
        <v>SUDAN</v>
      </c>
    </row>
    <row r="315" spans="2:17" ht="15.75" thickBot="1" x14ac:dyDescent="0.3">
      <c r="B315" s="154" t="str">
        <f>Master!AF57</f>
        <v>SYRIA</v>
      </c>
      <c r="C315" s="148" t="str">
        <f>Master!AG57</f>
        <v>SY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66">
        <v>0</v>
      </c>
      <c r="J315" s="66">
        <v>0</v>
      </c>
      <c r="K315" s="258">
        <v>0</v>
      </c>
      <c r="L315" s="66">
        <v>0</v>
      </c>
      <c r="M315" s="66">
        <v>0</v>
      </c>
      <c r="N315" s="258">
        <v>0</v>
      </c>
      <c r="O315" s="258">
        <v>0</v>
      </c>
      <c r="P315" s="258">
        <f t="shared" si="4"/>
        <v>0</v>
      </c>
      <c r="Q315" s="154" t="str">
        <f>Master!AF57</f>
        <v>SYRIA</v>
      </c>
    </row>
    <row r="316" spans="2:17" ht="15.75" thickBot="1" x14ac:dyDescent="0.3">
      <c r="B316" s="154" t="str">
        <f>Master!AF58</f>
        <v>TAJIKISTAN</v>
      </c>
      <c r="C316" s="148" t="str">
        <f>Master!AG58</f>
        <v>TI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66">
        <v>0</v>
      </c>
      <c r="J316" s="66">
        <v>0</v>
      </c>
      <c r="K316" s="258">
        <v>0</v>
      </c>
      <c r="L316" s="66">
        <v>0</v>
      </c>
      <c r="M316" s="66">
        <v>0</v>
      </c>
      <c r="N316" s="258">
        <v>0</v>
      </c>
      <c r="O316" s="258">
        <v>0</v>
      </c>
      <c r="P316" s="258">
        <f t="shared" si="4"/>
        <v>0</v>
      </c>
      <c r="Q316" s="154" t="str">
        <f>Master!AF58</f>
        <v>TAJIKISTAN</v>
      </c>
    </row>
    <row r="317" spans="2:17" ht="15.75" thickBot="1" x14ac:dyDescent="0.3">
      <c r="B317" s="154" t="str">
        <f>Master!AF59</f>
        <v>TANZANIA</v>
      </c>
      <c r="C317" s="148" t="str">
        <f>Master!AG59</f>
        <v>TZ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6">
        <v>0</v>
      </c>
      <c r="J317" s="66">
        <v>0</v>
      </c>
      <c r="K317" s="258">
        <v>0</v>
      </c>
      <c r="L317" s="66">
        <v>0</v>
      </c>
      <c r="M317" s="66">
        <v>0</v>
      </c>
      <c r="N317" s="258">
        <v>0</v>
      </c>
      <c r="O317" s="258">
        <v>0</v>
      </c>
      <c r="P317" s="258">
        <f t="shared" si="4"/>
        <v>0</v>
      </c>
      <c r="Q317" s="154" t="str">
        <f>Master!AF59</f>
        <v>TANZANIA</v>
      </c>
    </row>
    <row r="318" spans="2:17" ht="15.75" thickBot="1" x14ac:dyDescent="0.3">
      <c r="B318" s="154" t="str">
        <f>Master!AF60</f>
        <v>THAILAND</v>
      </c>
      <c r="C318" s="148" t="str">
        <f>Master!AG60</f>
        <v>TH</v>
      </c>
      <c r="D318" s="66">
        <v>0</v>
      </c>
      <c r="E318" s="66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258">
        <v>0</v>
      </c>
      <c r="L318" s="66">
        <v>0</v>
      </c>
      <c r="M318" s="66">
        <v>0</v>
      </c>
      <c r="N318" s="258">
        <v>0</v>
      </c>
      <c r="O318" s="258">
        <v>0</v>
      </c>
      <c r="P318" s="258">
        <f t="shared" si="4"/>
        <v>0</v>
      </c>
      <c r="Q318" s="154" t="str">
        <f>Master!AF60</f>
        <v>THAILAND</v>
      </c>
    </row>
    <row r="319" spans="2:17" ht="15.75" thickBot="1" x14ac:dyDescent="0.3">
      <c r="B319" s="154" t="str">
        <f>Master!AF61</f>
        <v>UGANDA</v>
      </c>
      <c r="C319" s="148" t="str">
        <f>Master!AG61</f>
        <v>UG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6">
        <v>0</v>
      </c>
      <c r="J319" s="66">
        <v>0</v>
      </c>
      <c r="K319" s="258">
        <v>0</v>
      </c>
      <c r="L319" s="66">
        <v>0</v>
      </c>
      <c r="M319" s="66">
        <v>0</v>
      </c>
      <c r="N319" s="258">
        <v>0</v>
      </c>
      <c r="O319" s="258">
        <v>0</v>
      </c>
      <c r="P319" s="258">
        <f t="shared" si="4"/>
        <v>0</v>
      </c>
      <c r="Q319" s="154" t="str">
        <f>Master!AF61</f>
        <v>UGANDA</v>
      </c>
    </row>
    <row r="320" spans="2:17" ht="15.75" thickBot="1" x14ac:dyDescent="0.3">
      <c r="B320" s="154" t="str">
        <f>Master!AF62</f>
        <v>UKRAINE</v>
      </c>
      <c r="C320" s="148" t="str">
        <f>Master!AG62</f>
        <v>UP</v>
      </c>
      <c r="D320" s="66">
        <v>0</v>
      </c>
      <c r="E320" s="66">
        <v>0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258">
        <v>6</v>
      </c>
      <c r="L320" s="66">
        <v>0</v>
      </c>
      <c r="M320" s="66">
        <v>0</v>
      </c>
      <c r="N320" s="258">
        <v>0</v>
      </c>
      <c r="O320" s="258">
        <v>0</v>
      </c>
      <c r="P320" s="258">
        <f t="shared" si="4"/>
        <v>6</v>
      </c>
      <c r="Q320" s="154" t="str">
        <f>Master!AF62</f>
        <v>UKRAINE</v>
      </c>
    </row>
    <row r="321" spans="2:17" ht="15.75" thickBot="1" x14ac:dyDescent="0.3">
      <c r="B321" s="154" t="str">
        <f>Master!AF63</f>
        <v>UZBEKISTAN</v>
      </c>
      <c r="C321" s="148" t="str">
        <f>Master!AG63</f>
        <v>UZ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258">
        <v>0</v>
      </c>
      <c r="L321" s="66">
        <v>0</v>
      </c>
      <c r="M321" s="66">
        <v>0</v>
      </c>
      <c r="N321" s="258">
        <v>0</v>
      </c>
      <c r="O321" s="258">
        <v>0</v>
      </c>
      <c r="P321" s="258">
        <f t="shared" si="4"/>
        <v>0</v>
      </c>
      <c r="Q321" s="154" t="str">
        <f>Master!AF63</f>
        <v>UZBEKISTAN</v>
      </c>
    </row>
    <row r="322" spans="2:17" ht="15.75" thickBot="1" x14ac:dyDescent="0.3">
      <c r="B322" s="154" t="str">
        <f>Master!AF64</f>
        <v>VIETNAM</v>
      </c>
      <c r="C322" s="148" t="str">
        <f>Master!AG64</f>
        <v>VM</v>
      </c>
      <c r="D322" s="66">
        <v>0</v>
      </c>
      <c r="E322" s="66">
        <v>0</v>
      </c>
      <c r="F322" s="66">
        <v>0</v>
      </c>
      <c r="G322" s="66">
        <v>0</v>
      </c>
      <c r="H322" s="66">
        <v>0</v>
      </c>
      <c r="I322" s="66">
        <v>0</v>
      </c>
      <c r="J322" s="66">
        <v>0</v>
      </c>
      <c r="K322" s="258">
        <v>0</v>
      </c>
      <c r="L322" s="66">
        <v>0</v>
      </c>
      <c r="M322" s="66">
        <v>0</v>
      </c>
      <c r="N322" s="258">
        <v>0</v>
      </c>
      <c r="O322" s="258">
        <v>0</v>
      </c>
      <c r="P322" s="258">
        <f t="shared" si="4"/>
        <v>0</v>
      </c>
      <c r="Q322" s="154" t="str">
        <f>Master!AF64</f>
        <v>VIETNAM</v>
      </c>
    </row>
    <row r="323" spans="2:17" ht="15.75" thickBot="1" x14ac:dyDescent="0.3">
      <c r="B323" s="154" t="str">
        <f>Master!AF65</f>
        <v>ZAMBIA</v>
      </c>
      <c r="C323" s="148" t="str">
        <f>Master!AG65</f>
        <v>ZA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258">
        <v>0</v>
      </c>
      <c r="L323" s="66">
        <v>0</v>
      </c>
      <c r="M323" s="66">
        <v>0</v>
      </c>
      <c r="N323" s="258">
        <v>0</v>
      </c>
      <c r="O323" s="258">
        <v>0</v>
      </c>
      <c r="P323" s="258">
        <f t="shared" si="4"/>
        <v>0</v>
      </c>
      <c r="Q323" s="154" t="str">
        <f>Master!AF65</f>
        <v>ZAMBIA</v>
      </c>
    </row>
    <row r="324" spans="2:17" ht="15.75" thickBot="1" x14ac:dyDescent="0.3">
      <c r="B324" s="154"/>
      <c r="C324" s="148"/>
      <c r="D324" s="66"/>
      <c r="E324" s="66"/>
      <c r="F324" s="66"/>
      <c r="G324" s="66"/>
      <c r="H324" s="66"/>
      <c r="I324" s="66"/>
      <c r="J324" s="66"/>
      <c r="K324" s="258"/>
      <c r="L324" s="66"/>
      <c r="M324" s="66"/>
      <c r="N324" s="258"/>
      <c r="O324" s="258"/>
      <c r="P324" s="258">
        <f>SUM(D324:O324)</f>
        <v>0</v>
      </c>
      <c r="Q324" s="154"/>
    </row>
    <row r="325" spans="2:17" ht="15.75" thickBot="1" x14ac:dyDescent="0.3">
      <c r="B325" s="205" t="s">
        <v>53</v>
      </c>
      <c r="C325" s="206"/>
      <c r="D325" s="23">
        <f>SUM(D265:D324)</f>
        <v>0</v>
      </c>
      <c r="E325" s="23">
        <f>SUM(E265:E324)</f>
        <v>0</v>
      </c>
      <c r="F325" s="23">
        <f>SUM(F265:F324)</f>
        <v>0</v>
      </c>
      <c r="G325" s="23">
        <f>SUM(G265:G324)</f>
        <v>0</v>
      </c>
      <c r="H325" s="23">
        <f>SUM(H265:H324)</f>
        <v>0</v>
      </c>
      <c r="I325" s="23">
        <f>SUM(I265:I324)</f>
        <v>0</v>
      </c>
      <c r="J325" s="23">
        <f>SUM(J265:J324)</f>
        <v>2</v>
      </c>
      <c r="K325" s="249">
        <v>7</v>
      </c>
      <c r="L325" s="23">
        <v>0</v>
      </c>
      <c r="M325" s="23">
        <v>9</v>
      </c>
      <c r="N325" s="249">
        <v>5</v>
      </c>
      <c r="O325" s="249">
        <v>0</v>
      </c>
      <c r="P325" s="249">
        <f>SUM(D325:O325)</f>
        <v>23</v>
      </c>
      <c r="Q325" s="24" t="s">
        <v>53</v>
      </c>
    </row>
  </sheetData>
  <mergeCells count="5">
    <mergeCell ref="B2:I2"/>
    <mergeCell ref="J2:Q2"/>
    <mergeCell ref="B3:C4"/>
    <mergeCell ref="P3:P4"/>
    <mergeCell ref="Q3:Q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83"/>
  <sheetViews>
    <sheetView workbookViewId="0">
      <selection activeCell="T75" sqref="T75:U75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20" ht="10.5" customHeight="1" thickBot="1" x14ac:dyDescent="0.3"/>
    <row r="2" spans="2:20" ht="15.75" thickBot="1" x14ac:dyDescent="0.3">
      <c r="B2" s="366" t="s">
        <v>58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</row>
    <row r="3" spans="2:20" s="53" customFormat="1" ht="13.5" customHeight="1" thickBot="1" x14ac:dyDescent="0.3">
      <c r="B3" s="369"/>
      <c r="C3" s="370"/>
      <c r="D3" s="147" t="s">
        <v>19</v>
      </c>
      <c r="E3" s="147" t="s">
        <v>20</v>
      </c>
      <c r="F3" s="147" t="s">
        <v>21</v>
      </c>
      <c r="G3" s="147" t="s">
        <v>22</v>
      </c>
      <c r="H3" s="147" t="s">
        <v>23</v>
      </c>
      <c r="I3" s="147" t="s">
        <v>24</v>
      </c>
      <c r="J3" s="147" t="s">
        <v>25</v>
      </c>
      <c r="K3" s="147" t="s">
        <v>26</v>
      </c>
      <c r="L3" s="147" t="s">
        <v>27</v>
      </c>
      <c r="M3" s="147" t="s">
        <v>28</v>
      </c>
      <c r="N3" s="147" t="s">
        <v>29</v>
      </c>
      <c r="O3" s="147" t="s">
        <v>30</v>
      </c>
      <c r="P3" s="389" t="s">
        <v>40</v>
      </c>
      <c r="Q3" s="375"/>
    </row>
    <row r="4" spans="2:20" s="53" customFormat="1" ht="13.5" customHeight="1" thickBot="1" x14ac:dyDescent="0.3">
      <c r="B4" s="371"/>
      <c r="C4" s="372"/>
      <c r="D4" s="147">
        <v>10</v>
      </c>
      <c r="E4" s="147">
        <v>11</v>
      </c>
      <c r="F4" s="147">
        <v>12</v>
      </c>
      <c r="G4" s="147">
        <v>1</v>
      </c>
      <c r="H4" s="147">
        <v>2</v>
      </c>
      <c r="I4" s="147">
        <v>3</v>
      </c>
      <c r="J4" s="147">
        <v>4</v>
      </c>
      <c r="K4" s="147">
        <v>5</v>
      </c>
      <c r="L4" s="147">
        <v>6</v>
      </c>
      <c r="M4" s="147">
        <v>7</v>
      </c>
      <c r="N4" s="147">
        <v>8</v>
      </c>
      <c r="O4" s="147">
        <v>9</v>
      </c>
      <c r="P4" s="390"/>
      <c r="Q4" s="376"/>
    </row>
    <row r="5" spans="2:20" ht="15.75" thickBot="1" x14ac:dyDescent="0.3">
      <c r="B5" s="155" t="str">
        <f>Master!AF7</f>
        <v>AFGHANISTAN</v>
      </c>
      <c r="C5" s="147" t="str">
        <f>Master!AG7</f>
        <v>AF</v>
      </c>
      <c r="D5" s="66">
        <v>1</v>
      </c>
      <c r="E5" s="258">
        <v>0</v>
      </c>
      <c r="F5" s="258">
        <v>5</v>
      </c>
      <c r="G5" s="258">
        <v>0</v>
      </c>
      <c r="H5" s="258">
        <v>1</v>
      </c>
      <c r="I5" s="258">
        <v>0</v>
      </c>
      <c r="J5" s="258">
        <v>4</v>
      </c>
      <c r="K5" s="258">
        <v>0</v>
      </c>
      <c r="L5" s="258">
        <v>2</v>
      </c>
      <c r="M5" s="258">
        <v>0</v>
      </c>
      <c r="N5" s="258">
        <v>8</v>
      </c>
      <c r="O5" s="258">
        <v>5</v>
      </c>
      <c r="P5" s="258">
        <f>SUM(D5:O5)</f>
        <v>26</v>
      </c>
      <c r="Q5" s="155" t="str">
        <f>Master!AF7</f>
        <v>AFGHANISTAN</v>
      </c>
    </row>
    <row r="6" spans="2:20" ht="15.75" thickBot="1" x14ac:dyDescent="0.3">
      <c r="B6" s="155" t="str">
        <f>Master!AF8</f>
        <v>ARMENIA</v>
      </c>
      <c r="C6" s="147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5" t="str">
        <f>Master!AF8</f>
        <v>ARMENIA</v>
      </c>
    </row>
    <row r="7" spans="2:20" ht="15.75" thickBot="1" x14ac:dyDescent="0.3">
      <c r="B7" s="155" t="s">
        <v>780</v>
      </c>
      <c r="C7" s="147" t="s">
        <v>333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>
        <v>0</v>
      </c>
      <c r="P7" s="258">
        <f t="shared" si="0"/>
        <v>0</v>
      </c>
      <c r="Q7" s="155" t="s">
        <v>780</v>
      </c>
    </row>
    <row r="8" spans="2:20" ht="15.75" thickBot="1" x14ac:dyDescent="0.3">
      <c r="B8" s="155" t="str">
        <f>Master!AF10</f>
        <v>BELARUS</v>
      </c>
      <c r="C8" s="147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0</v>
      </c>
      <c r="Q8" s="155" t="str">
        <f>Master!AF10</f>
        <v>BELARUS</v>
      </c>
    </row>
    <row r="9" spans="2:20" ht="15.75" thickBot="1" x14ac:dyDescent="0.3">
      <c r="B9" s="155" t="str">
        <f>Master!AF11</f>
        <v>BURMA</v>
      </c>
      <c r="C9" s="147" t="str">
        <f>Master!AG11</f>
        <v>BM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8">
        <v>6</v>
      </c>
      <c r="P9" s="258">
        <f t="shared" si="0"/>
        <v>6</v>
      </c>
      <c r="Q9" s="155" t="str">
        <f>Master!AF11</f>
        <v>BURMA</v>
      </c>
      <c r="R9" s="263"/>
      <c r="S9" s="263"/>
      <c r="T9" s="263"/>
    </row>
    <row r="10" spans="2:20" ht="15.75" thickBot="1" x14ac:dyDescent="0.3">
      <c r="B10" s="155" t="str">
        <f>Master!AF12</f>
        <v>BHUTAN</v>
      </c>
      <c r="C10" s="147" t="str">
        <f>Master!AG12</f>
        <v>BT</v>
      </c>
      <c r="D10" s="258">
        <v>2</v>
      </c>
      <c r="E10" s="258">
        <v>3</v>
      </c>
      <c r="F10" s="258">
        <v>7</v>
      </c>
      <c r="G10" s="258">
        <v>3</v>
      </c>
      <c r="H10" s="258">
        <v>0</v>
      </c>
      <c r="I10" s="258">
        <v>0</v>
      </c>
      <c r="J10" s="258">
        <v>3</v>
      </c>
      <c r="K10" s="258">
        <v>13</v>
      </c>
      <c r="L10" s="258">
        <v>0</v>
      </c>
      <c r="M10" s="258">
        <v>0</v>
      </c>
      <c r="N10" s="258">
        <v>0</v>
      </c>
      <c r="O10" s="258">
        <v>0</v>
      </c>
      <c r="P10" s="258">
        <f t="shared" si="0"/>
        <v>31</v>
      </c>
      <c r="Q10" s="155" t="str">
        <f>Master!AF12</f>
        <v>BHUTAN</v>
      </c>
      <c r="R10" s="263"/>
      <c r="S10" s="263"/>
      <c r="T10" s="263"/>
    </row>
    <row r="11" spans="2:20" ht="15.75" thickBot="1" x14ac:dyDescent="0.3">
      <c r="B11" s="155" t="s">
        <v>779</v>
      </c>
      <c r="C11" s="147" t="s">
        <v>287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>
        <v>0</v>
      </c>
      <c r="P11" s="258">
        <f t="shared" si="0"/>
        <v>0</v>
      </c>
      <c r="Q11" s="155" t="s">
        <v>779</v>
      </c>
    </row>
    <row r="12" spans="2:20" ht="15.75" thickBot="1" x14ac:dyDescent="0.3">
      <c r="B12" s="155" t="str">
        <f>Master!AF14</f>
        <v>BURUNDI</v>
      </c>
      <c r="C12" s="147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5" t="str">
        <f>Master!AF14</f>
        <v>BURUNDI</v>
      </c>
      <c r="R12" s="263"/>
      <c r="S12" s="263"/>
      <c r="T12" s="263"/>
    </row>
    <row r="13" spans="2:20" ht="15.75" thickBot="1" x14ac:dyDescent="0.3">
      <c r="B13" s="155" t="str">
        <f>Master!AF15</f>
        <v>CAMEROUN</v>
      </c>
      <c r="C13" s="147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155" t="str">
        <f>Master!AF15</f>
        <v>CAMEROUN</v>
      </c>
      <c r="R13" s="263"/>
      <c r="S13" s="263"/>
      <c r="T13" s="263"/>
    </row>
    <row r="14" spans="2:20" ht="15.75" thickBot="1" x14ac:dyDescent="0.3">
      <c r="B14" s="155" t="str">
        <f>Master!AF16</f>
        <v>CENTRAL AFR REP</v>
      </c>
      <c r="C14" s="147" t="str">
        <f>Master!AG16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3</v>
      </c>
      <c r="P14" s="258">
        <f t="shared" si="0"/>
        <v>3</v>
      </c>
      <c r="Q14" s="155" t="str">
        <f>Master!AF16</f>
        <v>CENTRAL AFR REP</v>
      </c>
      <c r="R14" s="263"/>
      <c r="S14" s="263"/>
      <c r="T14" s="263"/>
    </row>
    <row r="15" spans="2:20" ht="15.75" thickBot="1" x14ac:dyDescent="0.3">
      <c r="B15" s="155" t="str">
        <f>Master!AF17</f>
        <v>CHINA</v>
      </c>
      <c r="C15" s="147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55" t="str">
        <f>Master!AF17</f>
        <v>CHINA</v>
      </c>
      <c r="R15" s="263"/>
      <c r="S15" s="263"/>
      <c r="T15" s="263"/>
    </row>
    <row r="16" spans="2:20" ht="15.75" thickBot="1" x14ac:dyDescent="0.3">
      <c r="B16" s="155" t="str">
        <f>Master!AF18</f>
        <v>DEM REP OF CONGO</v>
      </c>
      <c r="C16" s="147" t="str">
        <f>Master!AG18</f>
        <v>CG</v>
      </c>
      <c r="D16" s="258">
        <v>13</v>
      </c>
      <c r="E16" s="258">
        <v>13</v>
      </c>
      <c r="F16" s="258">
        <v>1</v>
      </c>
      <c r="G16" s="258">
        <v>13</v>
      </c>
      <c r="H16" s="258">
        <v>0</v>
      </c>
      <c r="I16" s="258">
        <v>5</v>
      </c>
      <c r="J16" s="258">
        <v>0</v>
      </c>
      <c r="K16" s="258">
        <v>12</v>
      </c>
      <c r="L16" s="258">
        <v>0</v>
      </c>
      <c r="M16" s="258">
        <v>0</v>
      </c>
      <c r="N16" s="258">
        <v>0</v>
      </c>
      <c r="O16" s="258">
        <v>0</v>
      </c>
      <c r="P16" s="258">
        <f t="shared" si="0"/>
        <v>57</v>
      </c>
      <c r="Q16" s="155" t="str">
        <f>Master!AF18</f>
        <v>DEM REP OF CONGO</v>
      </c>
      <c r="R16" s="263"/>
      <c r="S16" s="263"/>
      <c r="T16" s="263"/>
    </row>
    <row r="17" spans="2:20" ht="15.75" thickBot="1" x14ac:dyDescent="0.3">
      <c r="B17" s="155" t="str">
        <f>Master!AF19</f>
        <v>COLUMBIA</v>
      </c>
      <c r="C17" s="147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0</v>
      </c>
      <c r="Q17" s="155" t="str">
        <f>Master!AF19</f>
        <v>COLUMBIA</v>
      </c>
      <c r="R17" s="263"/>
      <c r="S17" s="263"/>
      <c r="T17" s="263"/>
    </row>
    <row r="18" spans="2:20" ht="15.75" thickBot="1" x14ac:dyDescent="0.3">
      <c r="B18" s="155" t="str">
        <f>Master!AF20</f>
        <v>CONGO</v>
      </c>
      <c r="C18" s="147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55" t="str">
        <f>Master!AF20</f>
        <v>CONGO</v>
      </c>
      <c r="R18" s="263"/>
      <c r="S18" s="263"/>
      <c r="T18" s="263"/>
    </row>
    <row r="19" spans="2:20" ht="15.75" thickBot="1" x14ac:dyDescent="0.3">
      <c r="B19" s="155" t="str">
        <f>Master!AF21</f>
        <v>CUBA</v>
      </c>
      <c r="C19" s="147" t="str">
        <f>Master!AG21</f>
        <v>CU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f t="shared" si="0"/>
        <v>0</v>
      </c>
      <c r="Q19" s="155" t="str">
        <f>Master!AF21</f>
        <v>CUBA</v>
      </c>
      <c r="R19" s="263"/>
      <c r="S19" s="263"/>
      <c r="T19" s="263"/>
    </row>
    <row r="20" spans="2:20" ht="15.75" thickBot="1" x14ac:dyDescent="0.3">
      <c r="B20" s="155" t="str">
        <f>Master!AF22</f>
        <v>CUBAN ENTRANT</v>
      </c>
      <c r="C20" s="147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55" t="str">
        <f>Master!AF22</f>
        <v>CUBAN ENTRANT</v>
      </c>
      <c r="R20" s="263"/>
      <c r="S20" s="263"/>
      <c r="T20" s="263"/>
    </row>
    <row r="21" spans="2:20" ht="15.75" thickBot="1" x14ac:dyDescent="0.3">
      <c r="B21" s="155" t="str">
        <f>Master!AF23</f>
        <v>ECUADOR</v>
      </c>
      <c r="C21" s="147" t="str">
        <f>Master!AG23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155" t="str">
        <f>Master!AF23</f>
        <v>ECUADOR</v>
      </c>
      <c r="R21" s="263"/>
      <c r="S21" s="263"/>
      <c r="T21" s="263"/>
    </row>
    <row r="22" spans="2:20" ht="15.75" thickBot="1" x14ac:dyDescent="0.3">
      <c r="B22" s="155" t="str">
        <f>Master!AF24</f>
        <v>EGYPT</v>
      </c>
      <c r="C22" s="147" t="str">
        <f>Master!AG24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155" t="str">
        <f>Master!AF24</f>
        <v>EGYPT</v>
      </c>
      <c r="R22" s="263"/>
      <c r="S22" s="263"/>
      <c r="T22" s="263"/>
    </row>
    <row r="23" spans="2:20" ht="15.75" thickBot="1" x14ac:dyDescent="0.3">
      <c r="B23" s="155" t="str">
        <f>Master!AF25</f>
        <v>ERITREA</v>
      </c>
      <c r="C23" s="147" t="str">
        <f>Master!AG25</f>
        <v>ER</v>
      </c>
      <c r="D23" s="258">
        <v>0</v>
      </c>
      <c r="E23" s="258">
        <v>0</v>
      </c>
      <c r="F23" s="258">
        <v>10</v>
      </c>
      <c r="G23" s="258">
        <v>3</v>
      </c>
      <c r="H23" s="258">
        <v>0</v>
      </c>
      <c r="I23" s="258">
        <v>0</v>
      </c>
      <c r="J23" s="258">
        <v>3</v>
      </c>
      <c r="K23" s="258">
        <v>0</v>
      </c>
      <c r="L23" s="258">
        <v>10</v>
      </c>
      <c r="M23" s="258">
        <v>0</v>
      </c>
      <c r="N23" s="258">
        <v>0</v>
      </c>
      <c r="O23" s="258">
        <v>0</v>
      </c>
      <c r="P23" s="258">
        <f t="shared" si="0"/>
        <v>26</v>
      </c>
      <c r="Q23" s="155" t="str">
        <f>Master!AF25</f>
        <v>ERITREA</v>
      </c>
      <c r="R23" s="263"/>
      <c r="S23" s="263"/>
      <c r="T23" s="263"/>
    </row>
    <row r="24" spans="2:20" ht="15.75" thickBot="1" x14ac:dyDescent="0.3">
      <c r="B24" s="155" t="str">
        <f>Master!AF26</f>
        <v>ETHIOPIA</v>
      </c>
      <c r="C24" s="147" t="str">
        <f>Master!AG26</f>
        <v>ET</v>
      </c>
      <c r="D24" s="258">
        <v>1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f t="shared" si="0"/>
        <v>1</v>
      </c>
      <c r="Q24" s="155" t="str">
        <f>Master!AF26</f>
        <v>ETHIOPIA</v>
      </c>
      <c r="R24" s="263"/>
      <c r="S24" s="263"/>
      <c r="T24" s="263"/>
    </row>
    <row r="25" spans="2:20" ht="15.75" thickBot="1" x14ac:dyDescent="0.3">
      <c r="B25" s="155" t="str">
        <f>Master!AF27</f>
        <v>FRANCE</v>
      </c>
      <c r="C25" s="147" t="str">
        <f>Master!AG27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155" t="str">
        <f>Master!AF27</f>
        <v>FRANCE</v>
      </c>
      <c r="R25" s="263"/>
      <c r="S25" s="263"/>
      <c r="T25" s="263"/>
    </row>
    <row r="26" spans="2:20" ht="15.75" thickBot="1" x14ac:dyDescent="0.3">
      <c r="B26" s="155" t="str">
        <f>Master!AF28</f>
        <v>GUINEA</v>
      </c>
      <c r="C26" s="147" t="str">
        <f>Master!AG28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0</v>
      </c>
      <c r="Q26" s="155" t="str">
        <f>Master!AF28</f>
        <v>GUINEA</v>
      </c>
      <c r="R26" s="263"/>
      <c r="S26" s="263"/>
      <c r="T26" s="263"/>
    </row>
    <row r="27" spans="2:20" ht="15.75" thickBot="1" x14ac:dyDescent="0.3">
      <c r="B27" s="155" t="str">
        <f>Master!AF29</f>
        <v>HAITI</v>
      </c>
      <c r="C27" s="147" t="str">
        <f>Master!AG29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f t="shared" si="0"/>
        <v>0</v>
      </c>
      <c r="Q27" s="155" t="str">
        <f>Master!AF29</f>
        <v>HAITI</v>
      </c>
      <c r="R27" s="263"/>
      <c r="S27" s="263"/>
      <c r="T27" s="263"/>
    </row>
    <row r="28" spans="2:20" ht="15.75" thickBot="1" x14ac:dyDescent="0.3">
      <c r="B28" s="155" t="str">
        <f>Master!AF30</f>
        <v>INDIA</v>
      </c>
      <c r="C28" s="147" t="str">
        <f>Master!AG30</f>
        <v>IN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f t="shared" si="0"/>
        <v>0</v>
      </c>
      <c r="Q28" s="155" t="str">
        <f>Master!AF30</f>
        <v>INDIA</v>
      </c>
      <c r="R28" s="263"/>
      <c r="S28" s="263"/>
      <c r="T28" s="263"/>
    </row>
    <row r="29" spans="2:20" ht="15.75" thickBot="1" x14ac:dyDescent="0.3">
      <c r="B29" s="155" t="str">
        <f>Master!AF31</f>
        <v>INDONESIA</v>
      </c>
      <c r="C29" s="147" t="str">
        <f>Master!AG31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0</v>
      </c>
      <c r="Q29" s="155" t="str">
        <f>Master!AF31</f>
        <v>INDONESIA</v>
      </c>
      <c r="R29" s="263"/>
      <c r="S29" s="263"/>
      <c r="T29" s="263"/>
    </row>
    <row r="30" spans="2:20" ht="15.75" thickBot="1" x14ac:dyDescent="0.3">
      <c r="B30" s="155" t="str">
        <f>Master!AF32</f>
        <v>IRAN</v>
      </c>
      <c r="C30" s="147" t="str">
        <f>Master!AG32</f>
        <v>IR</v>
      </c>
      <c r="D30" s="258">
        <v>0</v>
      </c>
      <c r="E30" s="258">
        <v>0</v>
      </c>
      <c r="F30" s="258">
        <v>1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 t="shared" si="0"/>
        <v>1</v>
      </c>
      <c r="Q30" s="155" t="str">
        <f>Master!AF32</f>
        <v>IRAN</v>
      </c>
      <c r="R30" s="263"/>
      <c r="S30" s="263"/>
      <c r="T30" s="263"/>
    </row>
    <row r="31" spans="2:20" ht="15.75" thickBot="1" x14ac:dyDescent="0.3">
      <c r="B31" s="155" t="str">
        <f>Master!AF33</f>
        <v>IRAQ</v>
      </c>
      <c r="C31" s="147" t="str">
        <f>Master!AG33</f>
        <v>IZ</v>
      </c>
      <c r="D31" s="258">
        <v>0</v>
      </c>
      <c r="E31" s="258">
        <v>0</v>
      </c>
      <c r="F31" s="258">
        <v>0</v>
      </c>
      <c r="G31" s="258">
        <v>0</v>
      </c>
      <c r="H31" s="258">
        <v>2</v>
      </c>
      <c r="I31" s="258">
        <v>0</v>
      </c>
      <c r="J31" s="258">
        <v>0</v>
      </c>
      <c r="K31" s="258">
        <v>0</v>
      </c>
      <c r="L31" s="258">
        <v>6</v>
      </c>
      <c r="M31" s="258">
        <v>0</v>
      </c>
      <c r="N31" s="258">
        <v>1</v>
      </c>
      <c r="O31" s="258">
        <v>0</v>
      </c>
      <c r="P31" s="258">
        <f t="shared" si="0"/>
        <v>9</v>
      </c>
      <c r="Q31" s="155" t="str">
        <f>Master!AF33</f>
        <v>IRAQ</v>
      </c>
      <c r="R31" s="263"/>
      <c r="S31" s="263"/>
      <c r="T31" s="263"/>
    </row>
    <row r="32" spans="2:20" ht="15.75" thickBot="1" x14ac:dyDescent="0.3">
      <c r="B32" s="155" t="str">
        <f>Master!AF34</f>
        <v>IVORY COAST</v>
      </c>
      <c r="C32" s="147" t="str">
        <f>Master!AG34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 t="shared" si="0"/>
        <v>0</v>
      </c>
      <c r="Q32" s="155" t="str">
        <f>Master!AF34</f>
        <v>IVORY COAST</v>
      </c>
      <c r="R32" s="263"/>
      <c r="S32" s="263"/>
      <c r="T32" s="263"/>
    </row>
    <row r="33" spans="2:20" ht="15.75" thickBot="1" x14ac:dyDescent="0.3">
      <c r="B33" s="155" t="str">
        <f>Master!AF35</f>
        <v>JORDAN</v>
      </c>
      <c r="C33" s="147" t="str">
        <f>Master!AG35</f>
        <v>JO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0</v>
      </c>
      <c r="Q33" s="155" t="str">
        <f>Master!AF35</f>
        <v>JORDAN</v>
      </c>
      <c r="R33" s="263"/>
      <c r="S33" s="263"/>
      <c r="T33" s="263"/>
    </row>
    <row r="34" spans="2:20" ht="15.75" thickBot="1" x14ac:dyDescent="0.3">
      <c r="B34" s="155" t="str">
        <f>Master!AF36</f>
        <v>KAZAKHSTAN</v>
      </c>
      <c r="C34" s="147" t="str">
        <f>Master!AG36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155" t="str">
        <f>Master!AF36</f>
        <v>KAZAKHSTAN</v>
      </c>
      <c r="R34" s="263"/>
      <c r="S34" s="263"/>
      <c r="T34" s="263"/>
    </row>
    <row r="35" spans="2:20" ht="15.75" thickBot="1" x14ac:dyDescent="0.3">
      <c r="B35" s="155" t="str">
        <f>Master!AF37</f>
        <v>KENYA</v>
      </c>
      <c r="C35" s="147" t="str">
        <f>Master!AG37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155" t="str">
        <f>Master!AF37</f>
        <v>KENYA</v>
      </c>
      <c r="R35" s="263"/>
      <c r="S35" s="263"/>
      <c r="T35" s="263"/>
    </row>
    <row r="36" spans="2:20" ht="15.75" thickBot="1" x14ac:dyDescent="0.3">
      <c r="B36" s="155" t="str">
        <f>Master!AF38</f>
        <v>LEBANON</v>
      </c>
      <c r="C36" s="147" t="str">
        <f>Master!AG38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155" t="str">
        <f>Master!AF38</f>
        <v>LEBANON</v>
      </c>
      <c r="R36" s="263"/>
      <c r="S36" s="263"/>
      <c r="T36" s="263"/>
    </row>
    <row r="37" spans="2:20" ht="15.75" thickBot="1" x14ac:dyDescent="0.3">
      <c r="B37" s="155" t="str">
        <f>Master!AF39</f>
        <v>LIBERIA</v>
      </c>
      <c r="C37" s="147" t="str">
        <f>Master!AG39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155" t="str">
        <f>Master!AF39</f>
        <v>LIBERIA</v>
      </c>
      <c r="R37" s="263"/>
      <c r="S37" s="263"/>
      <c r="T37" s="263"/>
    </row>
    <row r="38" spans="2:20" ht="15.75" thickBot="1" x14ac:dyDescent="0.3">
      <c r="B38" s="155" t="str">
        <f>Master!AF40</f>
        <v>LIBYA</v>
      </c>
      <c r="C38" s="147" t="str">
        <f>Master!AG40</f>
        <v>LY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0</v>
      </c>
      <c r="Q38" s="155" t="str">
        <f>Master!AF40</f>
        <v>LIBYA</v>
      </c>
      <c r="R38" s="263"/>
      <c r="S38" s="263"/>
      <c r="T38" s="263"/>
    </row>
    <row r="39" spans="2:20" ht="15.75" thickBot="1" x14ac:dyDescent="0.3">
      <c r="B39" s="155" t="str">
        <f>Master!AF41</f>
        <v>MOLDOVA</v>
      </c>
      <c r="C39" s="147" t="str">
        <f>Master!AG41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0</v>
      </c>
      <c r="Q39" s="155" t="str">
        <f>Master!AF41</f>
        <v>MOLDOVA</v>
      </c>
      <c r="R39" s="263"/>
      <c r="S39" s="263"/>
      <c r="T39" s="263"/>
    </row>
    <row r="40" spans="2:20" ht="15.75" thickBot="1" x14ac:dyDescent="0.3">
      <c r="B40" s="155" t="str">
        <f>Master!AF42</f>
        <v>MALI</v>
      </c>
      <c r="C40" s="147" t="str">
        <f>Master!AG42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155" t="str">
        <f>Master!AF42</f>
        <v>MALI</v>
      </c>
      <c r="R40" s="263"/>
      <c r="S40" s="263"/>
      <c r="T40" s="263"/>
    </row>
    <row r="41" spans="2:20" ht="15.75" thickBot="1" x14ac:dyDescent="0.3">
      <c r="B41" s="155" t="str">
        <f>Master!AF43</f>
        <v>MALAYSIA</v>
      </c>
      <c r="C41" s="147" t="str">
        <f>Master!AG43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1</v>
      </c>
      <c r="P41" s="258">
        <f t="shared" si="0"/>
        <v>1</v>
      </c>
      <c r="Q41" s="155" t="str">
        <f>Master!AF43</f>
        <v>MALAYSIA</v>
      </c>
      <c r="R41" s="263"/>
      <c r="S41" s="263"/>
      <c r="T41" s="263"/>
    </row>
    <row r="42" spans="2:20" ht="15.75" thickBot="1" x14ac:dyDescent="0.3">
      <c r="B42" s="155" t="str">
        <f>Master!AF44</f>
        <v>NAMIBIA</v>
      </c>
      <c r="C42" s="147" t="str">
        <f>Master!AG44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155" t="str">
        <f>Master!AF44</f>
        <v>NAMIBIA</v>
      </c>
      <c r="R42" s="263"/>
      <c r="S42" s="263"/>
      <c r="T42" s="263"/>
    </row>
    <row r="43" spans="2:20" ht="15.75" thickBot="1" x14ac:dyDescent="0.3">
      <c r="B43" s="155" t="str">
        <f>Master!AF45</f>
        <v>NEPAL</v>
      </c>
      <c r="C43" s="147" t="str">
        <f>Master!AG45</f>
        <v>NP</v>
      </c>
      <c r="D43" s="258">
        <v>0</v>
      </c>
      <c r="E43" s="258">
        <v>0</v>
      </c>
      <c r="F43" s="258">
        <v>1</v>
      </c>
      <c r="G43" s="258">
        <v>0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8">
        <v>0</v>
      </c>
      <c r="N43" s="258">
        <v>0</v>
      </c>
      <c r="O43" s="258">
        <v>0</v>
      </c>
      <c r="P43" s="258">
        <f t="shared" si="0"/>
        <v>1</v>
      </c>
      <c r="Q43" s="155" t="str">
        <f>Master!AF45</f>
        <v>NEPAL</v>
      </c>
      <c r="R43" s="263"/>
      <c r="S43" s="263"/>
      <c r="T43" s="263"/>
    </row>
    <row r="44" spans="2:20" ht="15.75" thickBot="1" x14ac:dyDescent="0.3">
      <c r="B44" s="155" t="str">
        <f>Master!AF46</f>
        <v>NIGERIA</v>
      </c>
      <c r="C44" s="147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5" t="str">
        <f>Master!AF46</f>
        <v>NIGERIA</v>
      </c>
      <c r="R44" s="263"/>
      <c r="S44" s="263"/>
      <c r="T44" s="263"/>
    </row>
    <row r="45" spans="2:20" ht="15.75" thickBot="1" x14ac:dyDescent="0.3">
      <c r="B45" s="155" t="str">
        <f>Master!AF47</f>
        <v>PAKISTAN</v>
      </c>
      <c r="C45" s="147" t="str">
        <f>Master!AG47</f>
        <v>PK</v>
      </c>
      <c r="D45" s="258">
        <v>0</v>
      </c>
      <c r="E45" s="258">
        <v>0</v>
      </c>
      <c r="F45" s="258">
        <v>0</v>
      </c>
      <c r="G45" s="258">
        <v>8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 t="shared" si="0"/>
        <v>8</v>
      </c>
      <c r="Q45" s="155" t="str">
        <f>Master!AF47</f>
        <v>PAKISTAN</v>
      </c>
      <c r="R45" s="263"/>
      <c r="S45" s="263"/>
      <c r="T45" s="263"/>
    </row>
    <row r="46" spans="2:20" ht="15.75" thickBot="1" x14ac:dyDescent="0.3">
      <c r="B46" s="155" t="str">
        <f>Master!AF48</f>
        <v>PITCAIRN ISLANDS</v>
      </c>
      <c r="C46" s="147" t="str">
        <f>Master!AG48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 t="shared" si="0"/>
        <v>0</v>
      </c>
      <c r="Q46" s="155" t="str">
        <f>Master!AF48</f>
        <v>PITCAIRN ISLANDS</v>
      </c>
      <c r="R46" s="263"/>
      <c r="S46" s="263"/>
      <c r="T46" s="263"/>
    </row>
    <row r="47" spans="2:20" ht="15.75" thickBot="1" x14ac:dyDescent="0.3">
      <c r="B47" s="155" t="str">
        <f>Master!AF49</f>
        <v>RWANDA</v>
      </c>
      <c r="C47" s="147" t="str">
        <f>Master!AG49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1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f t="shared" si="0"/>
        <v>1</v>
      </c>
      <c r="Q47" s="155" t="str">
        <f>Master!AF49</f>
        <v>RWANDA</v>
      </c>
      <c r="R47" s="263"/>
      <c r="S47" s="263"/>
      <c r="T47" s="263"/>
    </row>
    <row r="48" spans="2:20" ht="15.75" thickBot="1" x14ac:dyDescent="0.3">
      <c r="B48" s="155" t="str">
        <f>Master!AF50</f>
        <v>RUSSIA</v>
      </c>
      <c r="C48" s="147" t="str">
        <f>Master!AG50</f>
        <v>RS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f t="shared" si="0"/>
        <v>0</v>
      </c>
      <c r="Q48" s="155" t="str">
        <f>Master!AF50</f>
        <v>RUSSIA</v>
      </c>
      <c r="R48" s="263"/>
      <c r="S48" s="263"/>
      <c r="T48" s="263"/>
    </row>
    <row r="49" spans="2:20" ht="15.75" thickBot="1" x14ac:dyDescent="0.3">
      <c r="B49" s="155" t="str">
        <f>Master!AF51</f>
        <v>SIERRA LEON</v>
      </c>
      <c r="C49" s="147" t="str">
        <f>Master!AG51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1</v>
      </c>
      <c r="P49" s="258">
        <f t="shared" si="0"/>
        <v>1</v>
      </c>
      <c r="Q49" s="155" t="str">
        <f>Master!AF51</f>
        <v>SIERRA LEON</v>
      </c>
      <c r="R49" s="263"/>
      <c r="S49" s="263"/>
      <c r="T49" s="263"/>
    </row>
    <row r="50" spans="2:20" ht="15.75" thickBot="1" x14ac:dyDescent="0.3">
      <c r="B50" s="155" t="str">
        <f>Master!AF52</f>
        <v>SOMALIA</v>
      </c>
      <c r="C50" s="147" t="str">
        <f>Master!AG52</f>
        <v>SO</v>
      </c>
      <c r="D50" s="258">
        <v>0</v>
      </c>
      <c r="E50" s="258">
        <v>0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58">
        <v>0</v>
      </c>
      <c r="N50" s="258">
        <v>0</v>
      </c>
      <c r="O50" s="258">
        <v>0</v>
      </c>
      <c r="P50" s="258">
        <f t="shared" si="0"/>
        <v>0</v>
      </c>
      <c r="Q50" s="155" t="str">
        <f>Master!AF52</f>
        <v>SOMALIA</v>
      </c>
      <c r="R50" s="263"/>
      <c r="S50" s="263"/>
      <c r="T50" s="263"/>
    </row>
    <row r="51" spans="2:20" ht="15.75" thickBot="1" x14ac:dyDescent="0.3">
      <c r="B51" s="155" t="str">
        <f>Master!AF53</f>
        <v>SPAIN</v>
      </c>
      <c r="C51" s="147" t="str">
        <f>Master!AG53</f>
        <v>ES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f t="shared" si="0"/>
        <v>0</v>
      </c>
      <c r="Q51" s="155" t="str">
        <f>Master!AF53</f>
        <v>SPAIN</v>
      </c>
      <c r="R51" s="263"/>
      <c r="S51" s="263"/>
      <c r="T51" s="263"/>
    </row>
    <row r="52" spans="2:20" ht="15.75" thickBot="1" x14ac:dyDescent="0.3">
      <c r="B52" s="155" t="str">
        <f>Master!AF54</f>
        <v>SOUTH SUDAN</v>
      </c>
      <c r="C52" s="147" t="str">
        <f>Master!AG54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0</v>
      </c>
      <c r="Q52" s="155" t="str">
        <f>Master!AF54</f>
        <v>SOUTH SUDAN</v>
      </c>
      <c r="R52" s="263"/>
      <c r="S52" s="263"/>
      <c r="T52" s="263"/>
    </row>
    <row r="53" spans="2:20" ht="15.75" thickBot="1" x14ac:dyDescent="0.3">
      <c r="B53" s="155" t="str">
        <f>Master!AF55</f>
        <v>SRI LANKA</v>
      </c>
      <c r="C53" s="147" t="str">
        <f>Master!AG55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155" t="str">
        <f>Master!AF55</f>
        <v>SRI LANKA</v>
      </c>
      <c r="R53" s="263"/>
      <c r="S53" s="263"/>
      <c r="T53" s="263"/>
    </row>
    <row r="54" spans="2:20" ht="15.75" thickBot="1" x14ac:dyDescent="0.3">
      <c r="B54" s="155" t="str">
        <f>Master!AF56</f>
        <v>SUDAN</v>
      </c>
      <c r="C54" s="147" t="str">
        <f>Master!AG56</f>
        <v>SU</v>
      </c>
      <c r="D54" s="258">
        <v>0</v>
      </c>
      <c r="E54" s="258">
        <v>0</v>
      </c>
      <c r="F54" s="258">
        <v>0</v>
      </c>
      <c r="G54" s="258">
        <v>6</v>
      </c>
      <c r="H54" s="258">
        <v>10</v>
      </c>
      <c r="I54" s="258">
        <v>0</v>
      </c>
      <c r="J54" s="258">
        <v>0</v>
      </c>
      <c r="K54" s="258">
        <v>4</v>
      </c>
      <c r="L54" s="258">
        <v>0</v>
      </c>
      <c r="M54" s="258">
        <v>0</v>
      </c>
      <c r="N54" s="258">
        <v>0</v>
      </c>
      <c r="O54" s="258">
        <v>0</v>
      </c>
      <c r="P54" s="258">
        <f t="shared" si="0"/>
        <v>20</v>
      </c>
      <c r="Q54" s="155" t="str">
        <f>Master!AF56</f>
        <v>SUDAN</v>
      </c>
      <c r="R54" s="263"/>
      <c r="S54" s="263"/>
      <c r="T54" s="263"/>
    </row>
    <row r="55" spans="2:20" ht="15.75" thickBot="1" x14ac:dyDescent="0.3">
      <c r="B55" s="155" t="str">
        <f>Master!AF57</f>
        <v>SYRIA</v>
      </c>
      <c r="C55" s="147" t="str">
        <f>Master!AG57</f>
        <v>SY</v>
      </c>
      <c r="D55" s="258">
        <v>7</v>
      </c>
      <c r="E55" s="258">
        <v>14</v>
      </c>
      <c r="F55" s="258">
        <v>8</v>
      </c>
      <c r="G55" s="258">
        <v>6</v>
      </c>
      <c r="H55" s="258">
        <v>0</v>
      </c>
      <c r="I55" s="258">
        <v>0</v>
      </c>
      <c r="J55" s="258">
        <v>0</v>
      </c>
      <c r="K55" s="258">
        <v>0</v>
      </c>
      <c r="L55" s="258">
        <v>0</v>
      </c>
      <c r="M55" s="258">
        <v>3</v>
      </c>
      <c r="N55" s="258">
        <v>0</v>
      </c>
      <c r="O55" s="258">
        <v>0</v>
      </c>
      <c r="P55" s="258">
        <f t="shared" si="0"/>
        <v>38</v>
      </c>
      <c r="Q55" s="155" t="str">
        <f>Master!AF57</f>
        <v>SYRIA</v>
      </c>
      <c r="R55" s="263"/>
      <c r="S55" s="263"/>
      <c r="T55" s="263"/>
    </row>
    <row r="56" spans="2:20" ht="15.75" thickBot="1" x14ac:dyDescent="0.3">
      <c r="B56" s="155" t="str">
        <f>Master!AF58</f>
        <v>TAJIKISTAN</v>
      </c>
      <c r="C56" s="147" t="str">
        <f>Master!AG58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155" t="str">
        <f>Master!AF58</f>
        <v>TAJIKISTAN</v>
      </c>
      <c r="R56" s="263"/>
      <c r="S56" s="263"/>
      <c r="T56" s="263"/>
    </row>
    <row r="57" spans="2:20" ht="15.75" thickBot="1" x14ac:dyDescent="0.3">
      <c r="B57" s="155" t="str">
        <f>Master!AF59</f>
        <v>TANZANIA</v>
      </c>
      <c r="C57" s="147" t="str">
        <f>Master!AG59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155" t="str">
        <f>Master!AF59</f>
        <v>TANZANIA</v>
      </c>
      <c r="R57" s="263"/>
      <c r="S57" s="263"/>
      <c r="T57" s="263"/>
    </row>
    <row r="58" spans="2:20" ht="15.75" thickBot="1" x14ac:dyDescent="0.3">
      <c r="B58" s="155" t="str">
        <f>Master!AF60</f>
        <v>THAILAND</v>
      </c>
      <c r="C58" s="147" t="str">
        <f>Master!AG60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155" t="str">
        <f>Master!AF60</f>
        <v>THAILAND</v>
      </c>
      <c r="R58" s="263"/>
      <c r="S58" s="263"/>
      <c r="T58" s="263"/>
    </row>
    <row r="59" spans="2:20" ht="15.75" thickBot="1" x14ac:dyDescent="0.3">
      <c r="B59" s="155" t="str">
        <f>Master!AF61</f>
        <v>UGANDA</v>
      </c>
      <c r="C59" s="147" t="str">
        <f>Master!AG61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0</v>
      </c>
      <c r="Q59" s="155" t="str">
        <f>Master!AF61</f>
        <v>UGANDA</v>
      </c>
      <c r="R59" s="263"/>
      <c r="S59" s="263"/>
      <c r="T59" s="263"/>
    </row>
    <row r="60" spans="2:20" ht="15.75" thickBot="1" x14ac:dyDescent="0.3">
      <c r="B60" s="155" t="str">
        <f>Master!AF62</f>
        <v>UKRAINE</v>
      </c>
      <c r="C60" s="147" t="str">
        <f>Master!AG62</f>
        <v>UP</v>
      </c>
      <c r="D60" s="258">
        <v>0</v>
      </c>
      <c r="E60" s="258">
        <v>0</v>
      </c>
      <c r="F60" s="258">
        <v>0</v>
      </c>
      <c r="G60" s="258">
        <v>0</v>
      </c>
      <c r="H60" s="258">
        <v>0</v>
      </c>
      <c r="I60" s="258">
        <v>0</v>
      </c>
      <c r="J60" s="258">
        <v>0</v>
      </c>
      <c r="K60" s="258">
        <v>0</v>
      </c>
      <c r="L60" s="258">
        <v>0</v>
      </c>
      <c r="M60" s="258">
        <v>0</v>
      </c>
      <c r="N60" s="258">
        <v>0</v>
      </c>
      <c r="O60" s="258">
        <v>0</v>
      </c>
      <c r="P60" s="258">
        <f t="shared" si="0"/>
        <v>0</v>
      </c>
      <c r="Q60" s="155" t="str">
        <f>Master!AF62</f>
        <v>UKRAINE</v>
      </c>
      <c r="R60" s="263"/>
      <c r="S60" s="263"/>
      <c r="T60" s="263"/>
    </row>
    <row r="61" spans="2:20" ht="15.75" thickBot="1" x14ac:dyDescent="0.3">
      <c r="B61" s="155" t="str">
        <f>Master!AF63</f>
        <v>UZBEKISTAN</v>
      </c>
      <c r="C61" s="147" t="str">
        <f>Master!AG63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 t="shared" si="0"/>
        <v>0</v>
      </c>
      <c r="Q61" s="155" t="str">
        <f>Master!AF63</f>
        <v>UZBEKISTAN</v>
      </c>
      <c r="R61" s="263"/>
      <c r="S61" s="263"/>
      <c r="T61" s="263"/>
    </row>
    <row r="62" spans="2:20" ht="15.75" thickBot="1" x14ac:dyDescent="0.3">
      <c r="B62" s="155" t="str">
        <f>Master!AF64</f>
        <v>VIETNAM</v>
      </c>
      <c r="C62" s="147" t="str">
        <f>Master!AG64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16</v>
      </c>
      <c r="P62" s="258">
        <f t="shared" si="0"/>
        <v>16</v>
      </c>
      <c r="Q62" s="155" t="str">
        <f>Master!AF64</f>
        <v>VIETNAM</v>
      </c>
      <c r="R62" s="263"/>
      <c r="S62" s="263"/>
      <c r="T62" s="263"/>
    </row>
    <row r="63" spans="2:20" ht="15.75" thickBot="1" x14ac:dyDescent="0.3">
      <c r="B63" s="155" t="str">
        <f>Master!AF65</f>
        <v>ZAMBIA</v>
      </c>
      <c r="C63" s="147" t="str">
        <f>Master!AG65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 t="shared" si="0"/>
        <v>0</v>
      </c>
      <c r="Q63" s="155" t="str">
        <f>Master!AF65</f>
        <v>ZAMBIA</v>
      </c>
      <c r="R63" s="263"/>
      <c r="S63" s="263"/>
      <c r="T63" s="263"/>
    </row>
    <row r="64" spans="2:20" ht="15.75" thickBot="1" x14ac:dyDescent="0.3">
      <c r="B64" s="354" t="s">
        <v>53</v>
      </c>
      <c r="C64" s="355"/>
      <c r="D64" s="249">
        <f>SUM(D5:D63)</f>
        <v>24</v>
      </c>
      <c r="E64" s="249">
        <f>SUM(E5:E63)</f>
        <v>30</v>
      </c>
      <c r="F64" s="249">
        <f>SUM(F5:F63)</f>
        <v>33</v>
      </c>
      <c r="G64" s="249">
        <f>SUM(G5:G63)</f>
        <v>39</v>
      </c>
      <c r="H64" s="249">
        <f>SUM(H5:H63)</f>
        <v>13</v>
      </c>
      <c r="I64" s="249">
        <f>SUM(I5:I63)</f>
        <v>6</v>
      </c>
      <c r="J64" s="249">
        <f>SUM(J5:J63)</f>
        <v>10</v>
      </c>
      <c r="K64" s="249">
        <f>SUM(K5:K63)</f>
        <v>29</v>
      </c>
      <c r="L64" s="249">
        <v>18</v>
      </c>
      <c r="M64" s="249">
        <v>3</v>
      </c>
      <c r="N64" s="249">
        <v>9</v>
      </c>
      <c r="O64" s="249">
        <f>SUM(O5:O63)</f>
        <v>32</v>
      </c>
      <c r="P64" s="249">
        <f>SUM(D64:O64)</f>
        <v>246</v>
      </c>
      <c r="Q64" s="240" t="s">
        <v>53</v>
      </c>
      <c r="R64" s="263"/>
      <c r="S64" s="263"/>
      <c r="T64" s="263"/>
    </row>
    <row r="65" spans="2:20" x14ac:dyDescent="0.25"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</row>
    <row r="66" spans="2:20" x14ac:dyDescent="0.25"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</row>
    <row r="67" spans="2:20" x14ac:dyDescent="0.25"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</row>
    <row r="68" spans="2:20" x14ac:dyDescent="0.25"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</row>
    <row r="69" spans="2:20" x14ac:dyDescent="0.25"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2:20" x14ac:dyDescent="0.25"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</row>
    <row r="71" spans="2:20" x14ac:dyDescent="0.25"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</row>
    <row r="72" spans="2:20" x14ac:dyDescent="0.25"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</row>
    <row r="73" spans="2:20" x14ac:dyDescent="0.25"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</row>
    <row r="74" spans="2:20" x14ac:dyDescent="0.25"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</row>
    <row r="75" spans="2:20" x14ac:dyDescent="0.25"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</row>
    <row r="76" spans="2:20" x14ac:dyDescent="0.25"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</row>
    <row r="77" spans="2:20" x14ac:dyDescent="0.25"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</row>
    <row r="78" spans="2:20" x14ac:dyDescent="0.25"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</row>
    <row r="79" spans="2:20" x14ac:dyDescent="0.25"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</row>
    <row r="80" spans="2:20" x14ac:dyDescent="0.25"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</row>
    <row r="81" spans="2:20" x14ac:dyDescent="0.25"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</row>
    <row r="82" spans="2:20" x14ac:dyDescent="0.25"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</row>
    <row r="83" spans="2:20" x14ac:dyDescent="0.25"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24"/>
  <sheetViews>
    <sheetView workbookViewId="0">
      <selection activeCell="X61" sqref="X61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17" ht="10.5" customHeight="1" thickBot="1" x14ac:dyDescent="0.3"/>
    <row r="2" spans="2:17" ht="15.75" thickBot="1" x14ac:dyDescent="0.3">
      <c r="B2" s="383" t="s">
        <v>1</v>
      </c>
      <c r="C2" s="384"/>
      <c r="D2" s="384"/>
      <c r="E2" s="384"/>
      <c r="F2" s="384"/>
      <c r="G2" s="384"/>
      <c r="H2" s="384"/>
      <c r="I2" s="384"/>
      <c r="J2" s="60" t="s">
        <v>0</v>
      </c>
      <c r="K2" s="60"/>
      <c r="L2" s="60"/>
      <c r="M2" s="60"/>
      <c r="N2" s="60"/>
      <c r="O2" s="60"/>
      <c r="P2" s="60"/>
      <c r="Q2" s="61"/>
    </row>
    <row r="3" spans="2:17" ht="13.5" customHeight="1" thickBot="1" x14ac:dyDescent="0.3">
      <c r="B3" s="369"/>
      <c r="C3" s="370"/>
      <c r="D3" s="147" t="s">
        <v>19</v>
      </c>
      <c r="E3" s="147" t="s">
        <v>20</v>
      </c>
      <c r="F3" s="147" t="s">
        <v>21</v>
      </c>
      <c r="G3" s="147" t="s">
        <v>22</v>
      </c>
      <c r="H3" s="147" t="s">
        <v>23</v>
      </c>
      <c r="I3" s="147" t="s">
        <v>24</v>
      </c>
      <c r="J3" s="147" t="s">
        <v>25</v>
      </c>
      <c r="K3" s="147" t="s">
        <v>26</v>
      </c>
      <c r="L3" s="147" t="s">
        <v>27</v>
      </c>
      <c r="M3" s="147" t="s">
        <v>28</v>
      </c>
      <c r="N3" s="147" t="s">
        <v>29</v>
      </c>
      <c r="O3" s="147" t="s">
        <v>30</v>
      </c>
      <c r="P3" s="389" t="s">
        <v>40</v>
      </c>
      <c r="Q3" s="375"/>
    </row>
    <row r="4" spans="2:17" ht="13.5" customHeight="1" thickBot="1" x14ac:dyDescent="0.3">
      <c r="B4" s="371"/>
      <c r="C4" s="372"/>
      <c r="D4" s="147">
        <v>10</v>
      </c>
      <c r="E4" s="147">
        <v>11</v>
      </c>
      <c r="F4" s="147">
        <v>12</v>
      </c>
      <c r="G4" s="147">
        <v>1</v>
      </c>
      <c r="H4" s="147">
        <v>2</v>
      </c>
      <c r="I4" s="147">
        <v>3</v>
      </c>
      <c r="J4" s="147">
        <v>4</v>
      </c>
      <c r="K4" s="147">
        <v>5</v>
      </c>
      <c r="L4" s="147">
        <v>6</v>
      </c>
      <c r="M4" s="147">
        <v>7</v>
      </c>
      <c r="N4" s="147">
        <v>8</v>
      </c>
      <c r="O4" s="147">
        <v>9</v>
      </c>
      <c r="P4" s="390"/>
      <c r="Q4" s="376"/>
    </row>
    <row r="5" spans="2:17" ht="15.75" thickBot="1" x14ac:dyDescent="0.3">
      <c r="B5" s="155" t="str">
        <f>Master!AF7</f>
        <v>AFGHANISTAN</v>
      </c>
      <c r="C5" s="147" t="str">
        <f>Master!AG7</f>
        <v>AF</v>
      </c>
      <c r="D5" s="66">
        <v>0</v>
      </c>
      <c r="E5" s="66">
        <v>0</v>
      </c>
      <c r="F5" s="66">
        <v>5</v>
      </c>
      <c r="G5" s="66">
        <v>0</v>
      </c>
      <c r="H5" s="66">
        <v>0</v>
      </c>
      <c r="I5" s="66">
        <v>0</v>
      </c>
      <c r="J5" s="66">
        <v>4</v>
      </c>
      <c r="K5" s="258">
        <v>0</v>
      </c>
      <c r="L5" s="66">
        <v>2</v>
      </c>
      <c r="M5" s="66">
        <v>0</v>
      </c>
      <c r="N5" s="258">
        <v>0</v>
      </c>
      <c r="O5" s="66"/>
      <c r="P5" s="66">
        <f>SUM(D5:O5)</f>
        <v>11</v>
      </c>
      <c r="Q5" s="155" t="str">
        <f>Master!AF7</f>
        <v>AFGHANISTAN</v>
      </c>
    </row>
    <row r="6" spans="2:17" ht="15.75" thickBot="1" x14ac:dyDescent="0.3">
      <c r="B6" s="155" t="str">
        <f>Master!AF8</f>
        <v>ARMENIA</v>
      </c>
      <c r="C6" s="147" t="str">
        <f>Master!AG8</f>
        <v>AM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258">
        <v>0</v>
      </c>
      <c r="L6" s="66">
        <v>0</v>
      </c>
      <c r="M6" s="66">
        <v>0</v>
      </c>
      <c r="N6" s="258">
        <v>0</v>
      </c>
      <c r="O6" s="66"/>
      <c r="P6" s="258">
        <f t="shared" ref="P6:P61" si="0">SUM(D6:O6)</f>
        <v>0</v>
      </c>
      <c r="Q6" s="155" t="str">
        <f>Master!AF8</f>
        <v>ARMENIA</v>
      </c>
    </row>
    <row r="7" spans="2:17" ht="15.75" thickBot="1" x14ac:dyDescent="0.3">
      <c r="B7" s="155" t="str">
        <f>Master!AF10</f>
        <v>BELARUS</v>
      </c>
      <c r="C7" s="147" t="str">
        <f>Master!AG10</f>
        <v>BO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258">
        <v>0</v>
      </c>
      <c r="L7" s="66">
        <v>0</v>
      </c>
      <c r="M7" s="66">
        <v>0</v>
      </c>
      <c r="N7" s="258">
        <v>0</v>
      </c>
      <c r="O7" s="66"/>
      <c r="P7" s="258">
        <f t="shared" si="0"/>
        <v>0</v>
      </c>
      <c r="Q7" s="155" t="str">
        <f>Master!AF10</f>
        <v>BELARUS</v>
      </c>
    </row>
    <row r="8" spans="2:17" ht="15.75" thickBot="1" x14ac:dyDescent="0.3">
      <c r="B8" s="155" t="str">
        <f>Master!AF11</f>
        <v>BURMA</v>
      </c>
      <c r="C8" s="147" t="str">
        <f>Master!AG11</f>
        <v>BM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258">
        <v>0</v>
      </c>
      <c r="L8" s="66">
        <v>0</v>
      </c>
      <c r="M8" s="66">
        <v>0</v>
      </c>
      <c r="N8" s="258">
        <v>0</v>
      </c>
      <c r="O8" s="66"/>
      <c r="P8" s="258">
        <f t="shared" si="0"/>
        <v>0</v>
      </c>
      <c r="Q8" s="155" t="str">
        <f>Master!AF11</f>
        <v>BURMA</v>
      </c>
    </row>
    <row r="9" spans="2:17" ht="15.75" thickBot="1" x14ac:dyDescent="0.3">
      <c r="B9" s="155" t="str">
        <f>Master!AF12</f>
        <v>BHUTAN</v>
      </c>
      <c r="C9" s="147" t="str">
        <f>Master!AG12</f>
        <v>BT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258">
        <v>0</v>
      </c>
      <c r="L9" s="66">
        <v>0</v>
      </c>
      <c r="M9" s="66">
        <v>0</v>
      </c>
      <c r="N9" s="258">
        <v>0</v>
      </c>
      <c r="O9" s="66"/>
      <c r="P9" s="258">
        <f t="shared" si="0"/>
        <v>0</v>
      </c>
      <c r="Q9" s="155" t="str">
        <f>Master!AF12</f>
        <v>BHUTAN</v>
      </c>
    </row>
    <row r="10" spans="2:17" ht="15.75" thickBot="1" x14ac:dyDescent="0.3">
      <c r="B10" s="155" t="str">
        <f>Master!AF14</f>
        <v>BURUNDI</v>
      </c>
      <c r="C10" s="147" t="str">
        <f>Master!AG14</f>
        <v>BY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258">
        <v>0</v>
      </c>
      <c r="L10" s="66">
        <v>0</v>
      </c>
      <c r="M10" s="66">
        <v>0</v>
      </c>
      <c r="N10" s="258">
        <v>0</v>
      </c>
      <c r="O10" s="66"/>
      <c r="P10" s="258">
        <f t="shared" si="0"/>
        <v>0</v>
      </c>
      <c r="Q10" s="155" t="str">
        <f>Master!AF14</f>
        <v>BURUNDI</v>
      </c>
    </row>
    <row r="11" spans="2:17" ht="15.75" thickBot="1" x14ac:dyDescent="0.3">
      <c r="B11" s="155" t="str">
        <f>Master!AF15</f>
        <v>CAMEROUN</v>
      </c>
      <c r="C11" s="147" t="str">
        <f>Master!AG15</f>
        <v>CM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258">
        <v>0</v>
      </c>
      <c r="L11" s="66">
        <v>0</v>
      </c>
      <c r="M11" s="66">
        <v>0</v>
      </c>
      <c r="N11" s="258">
        <v>0</v>
      </c>
      <c r="O11" s="66"/>
      <c r="P11" s="258">
        <f t="shared" si="0"/>
        <v>0</v>
      </c>
      <c r="Q11" s="155" t="str">
        <f>Master!AF15</f>
        <v>CAMEROUN</v>
      </c>
    </row>
    <row r="12" spans="2:17" ht="15.75" thickBot="1" x14ac:dyDescent="0.3">
      <c r="B12" s="155" t="str">
        <f>Master!AF16</f>
        <v>CENTRAL AFR REP</v>
      </c>
      <c r="C12" s="147" t="str">
        <f>Master!AG16</f>
        <v>CT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258">
        <v>0</v>
      </c>
      <c r="L12" s="66">
        <v>0</v>
      </c>
      <c r="M12" s="66">
        <v>0</v>
      </c>
      <c r="N12" s="258">
        <v>0</v>
      </c>
      <c r="O12" s="66"/>
      <c r="P12" s="258">
        <f t="shared" si="0"/>
        <v>0</v>
      </c>
      <c r="Q12" s="155" t="str">
        <f>Master!AF16</f>
        <v>CENTRAL AFR REP</v>
      </c>
    </row>
    <row r="13" spans="2:17" ht="15.75" thickBot="1" x14ac:dyDescent="0.3">
      <c r="B13" s="155" t="str">
        <f>Master!AF17</f>
        <v>CHINA</v>
      </c>
      <c r="C13" s="147" t="str">
        <f>Master!AG17</f>
        <v>CH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258">
        <v>0</v>
      </c>
      <c r="L13" s="66">
        <v>0</v>
      </c>
      <c r="M13" s="66">
        <v>0</v>
      </c>
      <c r="N13" s="258">
        <v>0</v>
      </c>
      <c r="O13" s="66"/>
      <c r="P13" s="258">
        <f t="shared" si="0"/>
        <v>0</v>
      </c>
      <c r="Q13" s="155" t="str">
        <f>Master!AF17</f>
        <v>CHINA</v>
      </c>
    </row>
    <row r="14" spans="2:17" ht="15.75" thickBot="1" x14ac:dyDescent="0.3">
      <c r="B14" s="155" t="str">
        <f>Master!AF18</f>
        <v>DEM REP OF CONGO</v>
      </c>
      <c r="C14" s="147" t="str">
        <f>Master!AG18</f>
        <v>CG</v>
      </c>
      <c r="D14" s="66">
        <v>0</v>
      </c>
      <c r="E14" s="66">
        <v>9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258">
        <v>0</v>
      </c>
      <c r="L14" s="66">
        <v>0</v>
      </c>
      <c r="M14" s="66">
        <v>0</v>
      </c>
      <c r="N14" s="258">
        <v>0</v>
      </c>
      <c r="O14" s="66"/>
      <c r="P14" s="258">
        <f t="shared" si="0"/>
        <v>9</v>
      </c>
      <c r="Q14" s="155" t="str">
        <f>Master!AF18</f>
        <v>DEM REP OF CONGO</v>
      </c>
    </row>
    <row r="15" spans="2:17" ht="15.75" thickBot="1" x14ac:dyDescent="0.3">
      <c r="B15" s="155" t="str">
        <f>Master!AF19</f>
        <v>COLUMBIA</v>
      </c>
      <c r="C15" s="147" t="str">
        <f>Master!AG19</f>
        <v>CO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258">
        <v>0</v>
      </c>
      <c r="L15" s="66">
        <v>0</v>
      </c>
      <c r="M15" s="66">
        <v>0</v>
      </c>
      <c r="N15" s="258">
        <v>0</v>
      </c>
      <c r="O15" s="66"/>
      <c r="P15" s="258">
        <f t="shared" si="0"/>
        <v>0</v>
      </c>
      <c r="Q15" s="155" t="str">
        <f>Master!AF19</f>
        <v>COLUMBIA</v>
      </c>
    </row>
    <row r="16" spans="2:17" ht="15.75" thickBot="1" x14ac:dyDescent="0.3">
      <c r="B16" s="155" t="str">
        <f>Master!AF20</f>
        <v>CONGO</v>
      </c>
      <c r="C16" s="147" t="str">
        <f>Master!AG20</f>
        <v>CF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258">
        <v>0</v>
      </c>
      <c r="L16" s="66">
        <v>0</v>
      </c>
      <c r="M16" s="66">
        <v>0</v>
      </c>
      <c r="N16" s="258">
        <v>0</v>
      </c>
      <c r="O16" s="66"/>
      <c r="P16" s="258">
        <f t="shared" si="0"/>
        <v>0</v>
      </c>
      <c r="Q16" s="155" t="str">
        <f>Master!AF20</f>
        <v>CONGO</v>
      </c>
    </row>
    <row r="17" spans="2:17" ht="15.75" thickBot="1" x14ac:dyDescent="0.3">
      <c r="B17" s="155" t="str">
        <f>Master!AF21</f>
        <v>CUBA</v>
      </c>
      <c r="C17" s="147" t="str">
        <f>Master!AG21</f>
        <v>CU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258">
        <v>0</v>
      </c>
      <c r="L17" s="66">
        <v>0</v>
      </c>
      <c r="M17" s="66">
        <v>0</v>
      </c>
      <c r="N17" s="258">
        <v>0</v>
      </c>
      <c r="O17" s="66"/>
      <c r="P17" s="258">
        <f t="shared" si="0"/>
        <v>0</v>
      </c>
      <c r="Q17" s="155" t="str">
        <f>Master!AF21</f>
        <v>CUBA</v>
      </c>
    </row>
    <row r="18" spans="2:17" ht="15.75" thickBot="1" x14ac:dyDescent="0.3">
      <c r="B18" s="155" t="str">
        <f>Master!AF22</f>
        <v>CUBAN ENTRANT</v>
      </c>
      <c r="C18" s="147" t="str">
        <f>Master!AG22</f>
        <v>CUE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258">
        <v>0</v>
      </c>
      <c r="L18" s="66">
        <v>0</v>
      </c>
      <c r="M18" s="66">
        <v>0</v>
      </c>
      <c r="N18" s="258">
        <v>0</v>
      </c>
      <c r="O18" s="66"/>
      <c r="P18" s="258">
        <f t="shared" si="0"/>
        <v>0</v>
      </c>
      <c r="Q18" s="155" t="str">
        <f>Master!AF22</f>
        <v>CUBAN ENTRANT</v>
      </c>
    </row>
    <row r="19" spans="2:17" ht="15.75" thickBot="1" x14ac:dyDescent="0.3">
      <c r="B19" s="155" t="str">
        <f>Master!AF23</f>
        <v>ECUADOR</v>
      </c>
      <c r="C19" s="147" t="str">
        <f>Master!AG23</f>
        <v>EC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258">
        <v>0</v>
      </c>
      <c r="L19" s="66">
        <v>0</v>
      </c>
      <c r="M19" s="66">
        <v>0</v>
      </c>
      <c r="N19" s="258">
        <v>0</v>
      </c>
      <c r="O19" s="66"/>
      <c r="P19" s="258">
        <f t="shared" si="0"/>
        <v>0</v>
      </c>
      <c r="Q19" s="155" t="str">
        <f>Master!AF23</f>
        <v>ECUADOR</v>
      </c>
    </row>
    <row r="20" spans="2:17" ht="15.75" thickBot="1" x14ac:dyDescent="0.3">
      <c r="B20" s="155" t="str">
        <f>Master!AF24</f>
        <v>EGYPT</v>
      </c>
      <c r="C20" s="147" t="str">
        <f>Master!AG24</f>
        <v>EG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258">
        <v>0</v>
      </c>
      <c r="L20" s="66">
        <v>0</v>
      </c>
      <c r="M20" s="66">
        <v>0</v>
      </c>
      <c r="N20" s="258">
        <v>0</v>
      </c>
      <c r="O20" s="66"/>
      <c r="P20" s="258">
        <f t="shared" si="0"/>
        <v>0</v>
      </c>
      <c r="Q20" s="155" t="str">
        <f>Master!AF24</f>
        <v>EGYPT</v>
      </c>
    </row>
    <row r="21" spans="2:17" ht="15.75" thickBot="1" x14ac:dyDescent="0.3">
      <c r="B21" s="155" t="str">
        <f>Master!AF25</f>
        <v>ERITREA</v>
      </c>
      <c r="C21" s="147" t="str">
        <f>Master!AG25</f>
        <v>ER</v>
      </c>
      <c r="D21" s="66">
        <v>0</v>
      </c>
      <c r="E21" s="66">
        <v>0</v>
      </c>
      <c r="F21" s="66">
        <v>10</v>
      </c>
      <c r="G21" s="66">
        <v>3</v>
      </c>
      <c r="H21" s="66">
        <v>0</v>
      </c>
      <c r="I21" s="66">
        <v>0</v>
      </c>
      <c r="J21" s="66">
        <v>3</v>
      </c>
      <c r="K21" s="258">
        <v>0</v>
      </c>
      <c r="L21" s="66">
        <v>10</v>
      </c>
      <c r="M21" s="66">
        <v>0</v>
      </c>
      <c r="N21" s="258">
        <v>0</v>
      </c>
      <c r="O21" s="66"/>
      <c r="P21" s="258">
        <f t="shared" si="0"/>
        <v>26</v>
      </c>
      <c r="Q21" s="155" t="str">
        <f>Master!AF25</f>
        <v>ERITREA</v>
      </c>
    </row>
    <row r="22" spans="2:17" ht="15.75" thickBot="1" x14ac:dyDescent="0.3">
      <c r="B22" s="155" t="str">
        <f>Master!AF26</f>
        <v>ETHIOPIA</v>
      </c>
      <c r="C22" s="147" t="str">
        <f>Master!AG26</f>
        <v>ET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258">
        <v>0</v>
      </c>
      <c r="L22" s="66">
        <v>0</v>
      </c>
      <c r="M22" s="66">
        <v>0</v>
      </c>
      <c r="N22" s="258">
        <v>0</v>
      </c>
      <c r="O22" s="66"/>
      <c r="P22" s="258">
        <f t="shared" si="0"/>
        <v>0</v>
      </c>
      <c r="Q22" s="155" t="str">
        <f>Master!AF26</f>
        <v>ETHIOPIA</v>
      </c>
    </row>
    <row r="23" spans="2:17" ht="15.75" thickBot="1" x14ac:dyDescent="0.3">
      <c r="B23" s="155" t="str">
        <f>Master!AF27</f>
        <v>FRANCE</v>
      </c>
      <c r="C23" s="147" t="str">
        <f>Master!AG27</f>
        <v>FR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258">
        <v>0</v>
      </c>
      <c r="L23" s="66">
        <v>0</v>
      </c>
      <c r="M23" s="66">
        <v>0</v>
      </c>
      <c r="N23" s="258">
        <v>0</v>
      </c>
      <c r="O23" s="66"/>
      <c r="P23" s="258">
        <f t="shared" si="0"/>
        <v>0</v>
      </c>
      <c r="Q23" s="155" t="str">
        <f>Master!AF27</f>
        <v>FRANCE</v>
      </c>
    </row>
    <row r="24" spans="2:17" ht="15.75" thickBot="1" x14ac:dyDescent="0.3">
      <c r="B24" s="155" t="str">
        <f>Master!AF28</f>
        <v>GUINEA</v>
      </c>
      <c r="C24" s="147" t="str">
        <f>Master!AG28</f>
        <v>GV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258">
        <v>0</v>
      </c>
      <c r="L24" s="66">
        <v>0</v>
      </c>
      <c r="M24" s="66">
        <v>0</v>
      </c>
      <c r="N24" s="258">
        <v>0</v>
      </c>
      <c r="O24" s="66"/>
      <c r="P24" s="258">
        <f t="shared" si="0"/>
        <v>0</v>
      </c>
      <c r="Q24" s="155" t="str">
        <f>Master!AF28</f>
        <v>GUINEA</v>
      </c>
    </row>
    <row r="25" spans="2:17" ht="15.75" thickBot="1" x14ac:dyDescent="0.3">
      <c r="B25" s="155" t="str">
        <f>Master!AF29</f>
        <v>HAITI</v>
      </c>
      <c r="C25" s="147" t="str">
        <f>Master!AG29</f>
        <v>HA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258">
        <v>0</v>
      </c>
      <c r="L25" s="66">
        <v>0</v>
      </c>
      <c r="M25" s="66">
        <v>0</v>
      </c>
      <c r="N25" s="258">
        <v>0</v>
      </c>
      <c r="O25" s="66"/>
      <c r="P25" s="258">
        <f t="shared" si="0"/>
        <v>0</v>
      </c>
      <c r="Q25" s="155" t="str">
        <f>Master!AF29</f>
        <v>HAITI</v>
      </c>
    </row>
    <row r="26" spans="2:17" ht="15.75" thickBot="1" x14ac:dyDescent="0.3">
      <c r="B26" s="155" t="str">
        <f>Master!AF30</f>
        <v>INDIA</v>
      </c>
      <c r="C26" s="147" t="str">
        <f>Master!AG30</f>
        <v>IN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258">
        <v>0</v>
      </c>
      <c r="L26" s="66">
        <v>0</v>
      </c>
      <c r="M26" s="66">
        <v>0</v>
      </c>
      <c r="N26" s="258">
        <v>0</v>
      </c>
      <c r="O26" s="66"/>
      <c r="P26" s="258">
        <f t="shared" si="0"/>
        <v>0</v>
      </c>
      <c r="Q26" s="155" t="str">
        <f>Master!AF30</f>
        <v>INDIA</v>
      </c>
    </row>
    <row r="27" spans="2:17" ht="15.75" thickBot="1" x14ac:dyDescent="0.3">
      <c r="B27" s="155" t="str">
        <f>Master!AF31</f>
        <v>INDONESIA</v>
      </c>
      <c r="C27" s="147" t="str">
        <f>Master!AG31</f>
        <v>ID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258">
        <v>0</v>
      </c>
      <c r="L27" s="66">
        <v>0</v>
      </c>
      <c r="M27" s="66">
        <v>0</v>
      </c>
      <c r="N27" s="258">
        <v>0</v>
      </c>
      <c r="O27" s="66"/>
      <c r="P27" s="258">
        <f t="shared" si="0"/>
        <v>0</v>
      </c>
      <c r="Q27" s="155" t="str">
        <f>Master!AF31</f>
        <v>INDONESIA</v>
      </c>
    </row>
    <row r="28" spans="2:17" ht="15.75" thickBot="1" x14ac:dyDescent="0.3">
      <c r="B28" s="155" t="str">
        <f>Master!AF32</f>
        <v>IRAN</v>
      </c>
      <c r="C28" s="147" t="str">
        <f>Master!AG32</f>
        <v>IR</v>
      </c>
      <c r="D28" s="66">
        <v>0</v>
      </c>
      <c r="E28" s="66">
        <v>0</v>
      </c>
      <c r="F28" s="66">
        <v>1</v>
      </c>
      <c r="G28" s="66">
        <v>0</v>
      </c>
      <c r="H28" s="66">
        <v>0</v>
      </c>
      <c r="I28" s="66">
        <v>0</v>
      </c>
      <c r="J28" s="66">
        <v>0</v>
      </c>
      <c r="K28" s="258">
        <v>0</v>
      </c>
      <c r="L28" s="66">
        <v>0</v>
      </c>
      <c r="M28" s="66">
        <v>0</v>
      </c>
      <c r="N28" s="258">
        <v>0</v>
      </c>
      <c r="O28" s="66"/>
      <c r="P28" s="258">
        <f t="shared" si="0"/>
        <v>1</v>
      </c>
      <c r="Q28" s="155" t="str">
        <f>Master!AF32</f>
        <v>IRAN</v>
      </c>
    </row>
    <row r="29" spans="2:17" ht="15.75" thickBot="1" x14ac:dyDescent="0.3">
      <c r="B29" s="155" t="str">
        <f>Master!AF33</f>
        <v>IRAQ</v>
      </c>
      <c r="C29" s="147" t="str">
        <f>Master!AG33</f>
        <v>IZ</v>
      </c>
      <c r="D29" s="66">
        <v>0</v>
      </c>
      <c r="E29" s="66">
        <v>0</v>
      </c>
      <c r="F29" s="66">
        <v>0</v>
      </c>
      <c r="G29" s="66">
        <v>0</v>
      </c>
      <c r="H29" s="66">
        <v>2</v>
      </c>
      <c r="I29" s="66">
        <v>0</v>
      </c>
      <c r="J29" s="66">
        <v>0</v>
      </c>
      <c r="K29" s="258">
        <v>0</v>
      </c>
      <c r="L29" s="66">
        <v>6</v>
      </c>
      <c r="M29" s="66">
        <v>0</v>
      </c>
      <c r="N29" s="258">
        <v>1</v>
      </c>
      <c r="O29" s="66"/>
      <c r="P29" s="258">
        <f t="shared" si="0"/>
        <v>9</v>
      </c>
      <c r="Q29" s="155" t="str">
        <f>Master!AF33</f>
        <v>IRAQ</v>
      </c>
    </row>
    <row r="30" spans="2:17" ht="15.75" thickBot="1" x14ac:dyDescent="0.3">
      <c r="B30" s="155" t="str">
        <f>Master!AF34</f>
        <v>IVORY COAST</v>
      </c>
      <c r="C30" s="147" t="str">
        <f>Master!AG34</f>
        <v>IV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258">
        <v>0</v>
      </c>
      <c r="L30" s="66">
        <v>0</v>
      </c>
      <c r="M30" s="66">
        <v>0</v>
      </c>
      <c r="N30" s="258">
        <v>0</v>
      </c>
      <c r="O30" s="66"/>
      <c r="P30" s="258">
        <f t="shared" si="0"/>
        <v>0</v>
      </c>
      <c r="Q30" s="155" t="str">
        <f>Master!AF34</f>
        <v>IVORY COAST</v>
      </c>
    </row>
    <row r="31" spans="2:17" ht="15.75" thickBot="1" x14ac:dyDescent="0.3">
      <c r="B31" s="155" t="str">
        <f>Master!AF35</f>
        <v>JORDAN</v>
      </c>
      <c r="C31" s="147" t="str">
        <f>Master!AG35</f>
        <v>JO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258">
        <v>0</v>
      </c>
      <c r="L31" s="66">
        <v>0</v>
      </c>
      <c r="M31" s="66">
        <v>0</v>
      </c>
      <c r="N31" s="258">
        <v>0</v>
      </c>
      <c r="O31" s="66"/>
      <c r="P31" s="258">
        <f t="shared" si="0"/>
        <v>0</v>
      </c>
      <c r="Q31" s="155" t="str">
        <f>Master!AF35</f>
        <v>JORDAN</v>
      </c>
    </row>
    <row r="32" spans="2:17" ht="15.75" thickBot="1" x14ac:dyDescent="0.3">
      <c r="B32" s="155" t="str">
        <f>Master!AF36</f>
        <v>KAZAKHSTAN</v>
      </c>
      <c r="C32" s="147" t="str">
        <f>Master!AG36</f>
        <v>KZ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258">
        <v>0</v>
      </c>
      <c r="L32" s="66">
        <v>0</v>
      </c>
      <c r="M32" s="66">
        <v>0</v>
      </c>
      <c r="N32" s="258">
        <v>0</v>
      </c>
      <c r="O32" s="66"/>
      <c r="P32" s="258">
        <f t="shared" si="0"/>
        <v>0</v>
      </c>
      <c r="Q32" s="155" t="str">
        <f>Master!AF36</f>
        <v>KAZAKHSTAN</v>
      </c>
    </row>
    <row r="33" spans="2:17" ht="15.75" thickBot="1" x14ac:dyDescent="0.3">
      <c r="B33" s="155" t="str">
        <f>Master!AF37</f>
        <v>KENYA</v>
      </c>
      <c r="C33" s="147" t="str">
        <f>Master!AG37</f>
        <v>KE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258">
        <v>0</v>
      </c>
      <c r="L33" s="66">
        <v>0</v>
      </c>
      <c r="M33" s="66">
        <v>0</v>
      </c>
      <c r="N33" s="258">
        <v>0</v>
      </c>
      <c r="O33" s="66"/>
      <c r="P33" s="258">
        <f t="shared" si="0"/>
        <v>0</v>
      </c>
      <c r="Q33" s="155" t="str">
        <f>Master!AF37</f>
        <v>KENYA</v>
      </c>
    </row>
    <row r="34" spans="2:17" ht="15.75" thickBot="1" x14ac:dyDescent="0.3">
      <c r="B34" s="155" t="str">
        <f>Master!AF38</f>
        <v>LEBANON</v>
      </c>
      <c r="C34" s="147" t="str">
        <f>Master!AG38</f>
        <v>LE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258">
        <v>0</v>
      </c>
      <c r="L34" s="66">
        <v>0</v>
      </c>
      <c r="M34" s="66">
        <v>0</v>
      </c>
      <c r="N34" s="258">
        <v>0</v>
      </c>
      <c r="O34" s="66"/>
      <c r="P34" s="258">
        <f t="shared" si="0"/>
        <v>0</v>
      </c>
      <c r="Q34" s="155" t="str">
        <f>Master!AF38</f>
        <v>LEBANON</v>
      </c>
    </row>
    <row r="35" spans="2:17" ht="15.75" thickBot="1" x14ac:dyDescent="0.3">
      <c r="B35" s="155" t="str">
        <f>Master!AF39</f>
        <v>LIBERIA</v>
      </c>
      <c r="C35" s="147" t="str">
        <f>Master!AG39</f>
        <v>LI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258">
        <v>0</v>
      </c>
      <c r="L35" s="66">
        <v>0</v>
      </c>
      <c r="M35" s="66">
        <v>0</v>
      </c>
      <c r="N35" s="258">
        <v>0</v>
      </c>
      <c r="O35" s="66"/>
      <c r="P35" s="258">
        <f t="shared" si="0"/>
        <v>0</v>
      </c>
      <c r="Q35" s="155" t="str">
        <f>Master!AF39</f>
        <v>LIBERIA</v>
      </c>
    </row>
    <row r="36" spans="2:17" ht="15.75" thickBot="1" x14ac:dyDescent="0.3">
      <c r="B36" s="155" t="str">
        <f>Master!AF40</f>
        <v>LIBYA</v>
      </c>
      <c r="C36" s="147" t="str">
        <f>Master!AG40</f>
        <v>LY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258">
        <v>0</v>
      </c>
      <c r="L36" s="66">
        <v>0</v>
      </c>
      <c r="M36" s="66">
        <v>0</v>
      </c>
      <c r="N36" s="258">
        <v>0</v>
      </c>
      <c r="O36" s="66"/>
      <c r="P36" s="258">
        <f t="shared" si="0"/>
        <v>0</v>
      </c>
      <c r="Q36" s="155" t="str">
        <f>Master!AF40</f>
        <v>LIBYA</v>
      </c>
    </row>
    <row r="37" spans="2:17" ht="15.75" thickBot="1" x14ac:dyDescent="0.3">
      <c r="B37" s="155" t="str">
        <f>Master!AF41</f>
        <v>MOLDOVA</v>
      </c>
      <c r="C37" s="147" t="str">
        <f>Master!AG41</f>
        <v>MD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258">
        <v>0</v>
      </c>
      <c r="L37" s="66">
        <v>0</v>
      </c>
      <c r="M37" s="66">
        <v>0</v>
      </c>
      <c r="N37" s="258">
        <v>0</v>
      </c>
      <c r="O37" s="66"/>
      <c r="P37" s="258">
        <f t="shared" si="0"/>
        <v>0</v>
      </c>
      <c r="Q37" s="155" t="str">
        <f>Master!AF41</f>
        <v>MOLDOVA</v>
      </c>
    </row>
    <row r="38" spans="2:17" ht="15.75" thickBot="1" x14ac:dyDescent="0.3">
      <c r="B38" s="155" t="str">
        <f>Master!AF42</f>
        <v>MALI</v>
      </c>
      <c r="C38" s="147" t="str">
        <f>Master!AG42</f>
        <v>ML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258">
        <v>0</v>
      </c>
      <c r="L38" s="66">
        <v>0</v>
      </c>
      <c r="M38" s="66">
        <v>0</v>
      </c>
      <c r="N38" s="258">
        <v>0</v>
      </c>
      <c r="O38" s="66"/>
      <c r="P38" s="258">
        <f t="shared" si="0"/>
        <v>0</v>
      </c>
      <c r="Q38" s="155" t="str">
        <f>Master!AF42</f>
        <v>MALI</v>
      </c>
    </row>
    <row r="39" spans="2:17" ht="15.75" thickBot="1" x14ac:dyDescent="0.3">
      <c r="B39" s="155" t="str">
        <f>Master!AF43</f>
        <v>MALAYSIA</v>
      </c>
      <c r="C39" s="147" t="str">
        <f>Master!AG43</f>
        <v>MY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258">
        <v>0</v>
      </c>
      <c r="L39" s="66">
        <v>0</v>
      </c>
      <c r="M39" s="66">
        <v>0</v>
      </c>
      <c r="N39" s="258">
        <v>0</v>
      </c>
      <c r="O39" s="66"/>
      <c r="P39" s="258">
        <f t="shared" si="0"/>
        <v>0</v>
      </c>
      <c r="Q39" s="155" t="str">
        <f>Master!AF43</f>
        <v>MALAYSIA</v>
      </c>
    </row>
    <row r="40" spans="2:17" ht="15.75" thickBot="1" x14ac:dyDescent="0.3">
      <c r="B40" s="155" t="str">
        <f>Master!AF44</f>
        <v>NAMIBIA</v>
      </c>
      <c r="C40" s="147" t="str">
        <f>Master!AG44</f>
        <v>WA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258">
        <v>0</v>
      </c>
      <c r="L40" s="66">
        <v>0</v>
      </c>
      <c r="M40" s="66">
        <v>0</v>
      </c>
      <c r="N40" s="258">
        <v>0</v>
      </c>
      <c r="O40" s="66"/>
      <c r="P40" s="258">
        <f t="shared" si="0"/>
        <v>0</v>
      </c>
      <c r="Q40" s="155" t="str">
        <f>Master!AF44</f>
        <v>NAMIBIA</v>
      </c>
    </row>
    <row r="41" spans="2:17" ht="15.75" thickBot="1" x14ac:dyDescent="0.3">
      <c r="B41" s="155" t="str">
        <f>Master!AF45</f>
        <v>NEPAL</v>
      </c>
      <c r="C41" s="147" t="str">
        <f>Master!AG45</f>
        <v>NP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258">
        <v>0</v>
      </c>
      <c r="L41" s="66">
        <v>0</v>
      </c>
      <c r="M41" s="66">
        <v>0</v>
      </c>
      <c r="N41" s="258">
        <v>0</v>
      </c>
      <c r="O41" s="66"/>
      <c r="P41" s="258">
        <f t="shared" si="0"/>
        <v>0</v>
      </c>
      <c r="Q41" s="155" t="str">
        <f>Master!AF45</f>
        <v>NEPAL</v>
      </c>
    </row>
    <row r="42" spans="2:17" ht="15.75" thickBot="1" x14ac:dyDescent="0.3">
      <c r="B42" s="155" t="str">
        <f>Master!AF46</f>
        <v>NIGERIA</v>
      </c>
      <c r="C42" s="147" t="str">
        <f>Master!AG46</f>
        <v>NI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/>
      <c r="P42" s="258">
        <f t="shared" si="0"/>
        <v>0</v>
      </c>
      <c r="Q42" s="155" t="str">
        <f>Master!AF46</f>
        <v>NIGERIA</v>
      </c>
    </row>
    <row r="43" spans="2:17" ht="15.75" thickBot="1" x14ac:dyDescent="0.3">
      <c r="B43" s="155" t="str">
        <f>Master!AF47</f>
        <v>PAKISTAN</v>
      </c>
      <c r="C43" s="147" t="str">
        <f>Master!AG47</f>
        <v>PK</v>
      </c>
      <c r="D43" s="66">
        <v>0</v>
      </c>
      <c r="E43" s="66">
        <v>0</v>
      </c>
      <c r="F43" s="66">
        <v>0</v>
      </c>
      <c r="G43" s="66">
        <v>7</v>
      </c>
      <c r="H43" s="66">
        <v>0</v>
      </c>
      <c r="I43" s="66">
        <v>0</v>
      </c>
      <c r="J43" s="66">
        <v>0</v>
      </c>
      <c r="K43" s="258">
        <v>0</v>
      </c>
      <c r="L43" s="66">
        <v>0</v>
      </c>
      <c r="M43" s="66">
        <v>0</v>
      </c>
      <c r="N43" s="258">
        <v>0</v>
      </c>
      <c r="O43" s="66"/>
      <c r="P43" s="258">
        <f t="shared" si="0"/>
        <v>7</v>
      </c>
      <c r="Q43" s="155" t="str">
        <f>Master!AF47</f>
        <v>PAKISTAN</v>
      </c>
    </row>
    <row r="44" spans="2:17" ht="15.75" thickBot="1" x14ac:dyDescent="0.3">
      <c r="B44" s="155" t="str">
        <f>Master!AF48</f>
        <v>PITCAIRN ISLANDS</v>
      </c>
      <c r="C44" s="147" t="str">
        <f>Master!AG48</f>
        <v>PN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258">
        <v>0</v>
      </c>
      <c r="L44" s="66">
        <v>0</v>
      </c>
      <c r="M44" s="66">
        <v>0</v>
      </c>
      <c r="N44" s="258">
        <v>0</v>
      </c>
      <c r="O44" s="66"/>
      <c r="P44" s="258">
        <f t="shared" si="0"/>
        <v>0</v>
      </c>
      <c r="Q44" s="155" t="str">
        <f>Master!AF48</f>
        <v>PITCAIRN ISLANDS</v>
      </c>
    </row>
    <row r="45" spans="2:17" ht="15.75" thickBot="1" x14ac:dyDescent="0.3">
      <c r="B45" s="155" t="str">
        <f>Master!AF49</f>
        <v>RWANDA</v>
      </c>
      <c r="C45" s="147" t="str">
        <f>Master!AG49</f>
        <v>RW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258">
        <v>0</v>
      </c>
      <c r="L45" s="66">
        <v>0</v>
      </c>
      <c r="M45" s="66">
        <v>0</v>
      </c>
      <c r="N45" s="258">
        <v>0</v>
      </c>
      <c r="O45" s="66"/>
      <c r="P45" s="258">
        <f t="shared" si="0"/>
        <v>0</v>
      </c>
      <c r="Q45" s="155" t="str">
        <f>Master!AF49</f>
        <v>RWANDA</v>
      </c>
    </row>
    <row r="46" spans="2:17" ht="15.75" thickBot="1" x14ac:dyDescent="0.3">
      <c r="B46" s="155" t="str">
        <f>Master!AF50</f>
        <v>RUSSIA</v>
      </c>
      <c r="C46" s="147" t="str">
        <f>Master!AG50</f>
        <v>RS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258">
        <v>0</v>
      </c>
      <c r="L46" s="66">
        <v>0</v>
      </c>
      <c r="M46" s="66">
        <v>0</v>
      </c>
      <c r="N46" s="258">
        <v>0</v>
      </c>
      <c r="O46" s="66"/>
      <c r="P46" s="258">
        <f t="shared" si="0"/>
        <v>0</v>
      </c>
      <c r="Q46" s="155" t="str">
        <f>Master!AF50</f>
        <v>RUSSIA</v>
      </c>
    </row>
    <row r="47" spans="2:17" ht="15.75" thickBot="1" x14ac:dyDescent="0.3">
      <c r="B47" s="155" t="str">
        <f>Master!AF51</f>
        <v>SIERRA LEON</v>
      </c>
      <c r="C47" s="147" t="str">
        <f>Master!AG51</f>
        <v>SL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258">
        <v>0</v>
      </c>
      <c r="L47" s="66">
        <v>0</v>
      </c>
      <c r="M47" s="66">
        <v>0</v>
      </c>
      <c r="N47" s="258">
        <v>0</v>
      </c>
      <c r="O47" s="66"/>
      <c r="P47" s="258">
        <f t="shared" si="0"/>
        <v>0</v>
      </c>
      <c r="Q47" s="155" t="str">
        <f>Master!AF51</f>
        <v>SIERRA LEON</v>
      </c>
    </row>
    <row r="48" spans="2:17" ht="15.75" thickBot="1" x14ac:dyDescent="0.3">
      <c r="B48" s="155" t="str">
        <f>Master!AF52</f>
        <v>SOMALIA</v>
      </c>
      <c r="C48" s="147" t="str">
        <f>Master!AG52</f>
        <v>SO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258">
        <v>0</v>
      </c>
      <c r="L48" s="66">
        <v>0</v>
      </c>
      <c r="M48" s="66">
        <v>0</v>
      </c>
      <c r="N48" s="258">
        <v>0</v>
      </c>
      <c r="O48" s="66"/>
      <c r="P48" s="258">
        <f t="shared" si="0"/>
        <v>0</v>
      </c>
      <c r="Q48" s="155" t="str">
        <f>Master!AF52</f>
        <v>SOMALIA</v>
      </c>
    </row>
    <row r="49" spans="1:17" ht="15.75" thickBot="1" x14ac:dyDescent="0.3">
      <c r="B49" s="155" t="str">
        <f>Master!AF53</f>
        <v>SPAIN</v>
      </c>
      <c r="C49" s="147" t="str">
        <f>Master!AG53</f>
        <v>ES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258">
        <v>0</v>
      </c>
      <c r="L49" s="66">
        <v>0</v>
      </c>
      <c r="M49" s="66">
        <v>0</v>
      </c>
      <c r="N49" s="258">
        <v>0</v>
      </c>
      <c r="O49" s="66"/>
      <c r="P49" s="258">
        <f t="shared" si="0"/>
        <v>0</v>
      </c>
      <c r="Q49" s="155" t="str">
        <f>Master!AF53</f>
        <v>SPAIN</v>
      </c>
    </row>
    <row r="50" spans="1:17" ht="15.75" thickBot="1" x14ac:dyDescent="0.3">
      <c r="B50" s="155" t="str">
        <f>Master!AF54</f>
        <v>SOUTH SUDAN</v>
      </c>
      <c r="C50" s="147" t="str">
        <f>Master!AG54</f>
        <v>SS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258">
        <v>0</v>
      </c>
      <c r="L50" s="66">
        <v>0</v>
      </c>
      <c r="M50" s="66">
        <v>0</v>
      </c>
      <c r="N50" s="258">
        <v>0</v>
      </c>
      <c r="O50" s="66"/>
      <c r="P50" s="258">
        <f t="shared" si="0"/>
        <v>0</v>
      </c>
      <c r="Q50" s="155" t="str">
        <f>Master!AF54</f>
        <v>SOUTH SUDAN</v>
      </c>
    </row>
    <row r="51" spans="1:17" ht="15.75" thickBot="1" x14ac:dyDescent="0.3">
      <c r="B51" s="155" t="str">
        <f>Master!AF55</f>
        <v>SRI LANKA</v>
      </c>
      <c r="C51" s="147" t="str">
        <f>Master!AG55</f>
        <v>CE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258">
        <v>0</v>
      </c>
      <c r="L51" s="66">
        <v>0</v>
      </c>
      <c r="M51" s="66">
        <v>0</v>
      </c>
      <c r="N51" s="258">
        <v>0</v>
      </c>
      <c r="O51" s="66"/>
      <c r="P51" s="258">
        <f t="shared" si="0"/>
        <v>0</v>
      </c>
      <c r="Q51" s="155" t="str">
        <f>Master!AF55</f>
        <v>SRI LANKA</v>
      </c>
    </row>
    <row r="52" spans="1:17" ht="15.75" thickBot="1" x14ac:dyDescent="0.3">
      <c r="B52" s="155" t="str">
        <f>Master!AF56</f>
        <v>SUDAN</v>
      </c>
      <c r="C52" s="147" t="str">
        <f>Master!AG56</f>
        <v>SU</v>
      </c>
      <c r="D52" s="66">
        <v>0</v>
      </c>
      <c r="E52" s="66">
        <v>0</v>
      </c>
      <c r="F52" s="66">
        <v>0</v>
      </c>
      <c r="G52" s="66">
        <v>1</v>
      </c>
      <c r="H52" s="66">
        <v>10</v>
      </c>
      <c r="I52" s="66">
        <v>0</v>
      </c>
      <c r="J52" s="66">
        <v>0</v>
      </c>
      <c r="K52" s="258">
        <v>0</v>
      </c>
      <c r="L52" s="66">
        <v>0</v>
      </c>
      <c r="M52" s="66">
        <v>0</v>
      </c>
      <c r="N52" s="258">
        <v>0</v>
      </c>
      <c r="O52" s="66"/>
      <c r="P52" s="258">
        <f t="shared" si="0"/>
        <v>11</v>
      </c>
      <c r="Q52" s="155" t="str">
        <f>Master!AF56</f>
        <v>SUDAN</v>
      </c>
    </row>
    <row r="53" spans="1:17" ht="15.75" thickBot="1" x14ac:dyDescent="0.3">
      <c r="B53" s="155" t="str">
        <f>Master!AF57</f>
        <v>SYRIA</v>
      </c>
      <c r="C53" s="147" t="str">
        <f>Master!AG57</f>
        <v>SY</v>
      </c>
      <c r="D53" s="66">
        <v>7</v>
      </c>
      <c r="E53" s="66">
        <v>5</v>
      </c>
      <c r="F53" s="66">
        <v>4</v>
      </c>
      <c r="G53" s="66">
        <v>6</v>
      </c>
      <c r="H53" s="66">
        <v>0</v>
      </c>
      <c r="I53" s="66">
        <v>0</v>
      </c>
      <c r="J53" s="66">
        <v>0</v>
      </c>
      <c r="K53" s="258">
        <v>0</v>
      </c>
      <c r="L53" s="66">
        <v>0</v>
      </c>
      <c r="M53" s="66">
        <v>3</v>
      </c>
      <c r="N53" s="258">
        <v>0</v>
      </c>
      <c r="O53" s="66"/>
      <c r="P53" s="258">
        <f t="shared" si="0"/>
        <v>25</v>
      </c>
      <c r="Q53" s="155" t="str">
        <f>Master!AF57</f>
        <v>SYRIA</v>
      </c>
    </row>
    <row r="54" spans="1:17" ht="15.75" thickBot="1" x14ac:dyDescent="0.3">
      <c r="B54" s="155" t="str">
        <f>Master!AF58</f>
        <v>TAJIKISTAN</v>
      </c>
      <c r="C54" s="147" t="str">
        <f>Master!AG58</f>
        <v>TI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258">
        <v>0</v>
      </c>
      <c r="L54" s="66">
        <v>0</v>
      </c>
      <c r="M54" s="66">
        <v>0</v>
      </c>
      <c r="N54" s="258">
        <v>0</v>
      </c>
      <c r="O54" s="66"/>
      <c r="P54" s="258">
        <f t="shared" si="0"/>
        <v>0</v>
      </c>
      <c r="Q54" s="155" t="str">
        <f>Master!AF58</f>
        <v>TAJIKISTAN</v>
      </c>
    </row>
    <row r="55" spans="1:17" ht="15.75" thickBot="1" x14ac:dyDescent="0.3">
      <c r="B55" s="155" t="str">
        <f>Master!AF59</f>
        <v>TANZANIA</v>
      </c>
      <c r="C55" s="147" t="str">
        <f>Master!AG59</f>
        <v>TZ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258">
        <v>0</v>
      </c>
      <c r="L55" s="66">
        <v>0</v>
      </c>
      <c r="M55" s="66">
        <v>0</v>
      </c>
      <c r="N55" s="258">
        <v>0</v>
      </c>
      <c r="O55" s="66"/>
      <c r="P55" s="258">
        <f t="shared" si="0"/>
        <v>0</v>
      </c>
      <c r="Q55" s="155" t="str">
        <f>Master!AF59</f>
        <v>TANZANIA</v>
      </c>
    </row>
    <row r="56" spans="1:17" ht="15.75" thickBot="1" x14ac:dyDescent="0.3">
      <c r="B56" s="155" t="str">
        <f>Master!AF60</f>
        <v>THAILAND</v>
      </c>
      <c r="C56" s="147" t="str">
        <f>Master!AG60</f>
        <v>TH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258">
        <v>0</v>
      </c>
      <c r="L56" s="66">
        <v>0</v>
      </c>
      <c r="M56" s="66">
        <v>0</v>
      </c>
      <c r="N56" s="258">
        <v>0</v>
      </c>
      <c r="O56" s="66"/>
      <c r="P56" s="258">
        <f t="shared" si="0"/>
        <v>0</v>
      </c>
      <c r="Q56" s="155" t="str">
        <f>Master!AF60</f>
        <v>THAILAND</v>
      </c>
    </row>
    <row r="57" spans="1:17" ht="15.75" thickBot="1" x14ac:dyDescent="0.3">
      <c r="B57" s="155" t="str">
        <f>Master!AF61</f>
        <v>UGANDA</v>
      </c>
      <c r="C57" s="147" t="str">
        <f>Master!AG61</f>
        <v>UG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258">
        <v>0</v>
      </c>
      <c r="L57" s="66">
        <v>0</v>
      </c>
      <c r="M57" s="66">
        <v>0</v>
      </c>
      <c r="N57" s="258">
        <v>0</v>
      </c>
      <c r="O57" s="66"/>
      <c r="P57" s="258">
        <f t="shared" si="0"/>
        <v>0</v>
      </c>
      <c r="Q57" s="155" t="str">
        <f>Master!AF61</f>
        <v>UGANDA</v>
      </c>
    </row>
    <row r="58" spans="1:17" ht="15.75" thickBot="1" x14ac:dyDescent="0.3">
      <c r="A58" s="54"/>
      <c r="B58" s="155" t="str">
        <f>Master!AF62</f>
        <v>UKRAINE</v>
      </c>
      <c r="C58" s="147" t="str">
        <f>Master!AG62</f>
        <v>UP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258">
        <v>0</v>
      </c>
      <c r="L58" s="66">
        <v>0</v>
      </c>
      <c r="M58" s="66">
        <v>0</v>
      </c>
      <c r="N58" s="258">
        <v>0</v>
      </c>
      <c r="O58" s="66"/>
      <c r="P58" s="258">
        <f t="shared" si="0"/>
        <v>0</v>
      </c>
      <c r="Q58" s="155" t="str">
        <f>Master!AF62</f>
        <v>UKRAINE</v>
      </c>
    </row>
    <row r="59" spans="1:17" ht="15.75" thickBot="1" x14ac:dyDescent="0.3">
      <c r="A59" s="54"/>
      <c r="B59" s="155" t="str">
        <f>Master!AF63</f>
        <v>UZBEKISTAN</v>
      </c>
      <c r="C59" s="147" t="str">
        <f>Master!AG63</f>
        <v>UZ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258">
        <v>0</v>
      </c>
      <c r="L59" s="66">
        <v>0</v>
      </c>
      <c r="M59" s="66">
        <v>0</v>
      </c>
      <c r="N59" s="258">
        <v>0</v>
      </c>
      <c r="O59" s="66"/>
      <c r="P59" s="258">
        <f t="shared" si="0"/>
        <v>0</v>
      </c>
      <c r="Q59" s="155" t="str">
        <f>Master!AF63</f>
        <v>UZBEKISTAN</v>
      </c>
    </row>
    <row r="60" spans="1:17" ht="13.5" customHeight="1" thickBot="1" x14ac:dyDescent="0.3">
      <c r="A60" s="54"/>
      <c r="B60" s="155" t="str">
        <f>Master!AF64</f>
        <v>VIETNAM</v>
      </c>
      <c r="C60" s="147" t="str">
        <f>Master!AG64</f>
        <v>VM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258">
        <v>0</v>
      </c>
      <c r="L60" s="66">
        <v>0</v>
      </c>
      <c r="M60" s="66">
        <v>0</v>
      </c>
      <c r="N60" s="258">
        <v>0</v>
      </c>
      <c r="O60" s="66"/>
      <c r="P60" s="258">
        <f t="shared" si="0"/>
        <v>0</v>
      </c>
      <c r="Q60" s="155" t="str">
        <f>Master!AF64</f>
        <v>VIETNAM</v>
      </c>
    </row>
    <row r="61" spans="1:17" ht="13.5" customHeight="1" thickBot="1" x14ac:dyDescent="0.3">
      <c r="A61" s="54"/>
      <c r="B61" s="155" t="str">
        <f>Master!AF65</f>
        <v>ZAMBIA</v>
      </c>
      <c r="C61" s="147" t="str">
        <f>Master!AG65</f>
        <v>ZA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258">
        <v>0</v>
      </c>
      <c r="L61" s="66">
        <v>0</v>
      </c>
      <c r="M61" s="66">
        <v>0</v>
      </c>
      <c r="N61" s="258">
        <v>0</v>
      </c>
      <c r="O61" s="66"/>
      <c r="P61" s="258">
        <f t="shared" si="0"/>
        <v>0</v>
      </c>
      <c r="Q61" s="155" t="str">
        <f>Master!AF65</f>
        <v>ZAMBIA</v>
      </c>
    </row>
    <row r="62" spans="1:17" ht="15.75" thickBot="1" x14ac:dyDescent="0.3">
      <c r="A62" s="54"/>
      <c r="B62" s="379" t="s">
        <v>53</v>
      </c>
      <c r="C62" s="380"/>
      <c r="D62" s="23">
        <f>SUM(D5:D61)</f>
        <v>7</v>
      </c>
      <c r="E62" s="23">
        <f>SUM(E5:E61)</f>
        <v>14</v>
      </c>
      <c r="F62" s="23">
        <v>20</v>
      </c>
      <c r="G62" s="23">
        <v>17</v>
      </c>
      <c r="H62" s="23">
        <v>12</v>
      </c>
      <c r="I62" s="23">
        <v>0</v>
      </c>
      <c r="J62" s="23">
        <v>7</v>
      </c>
      <c r="K62" s="249">
        <v>0</v>
      </c>
      <c r="L62" s="23">
        <v>18</v>
      </c>
      <c r="M62" s="23">
        <v>3</v>
      </c>
      <c r="N62" s="249">
        <v>1</v>
      </c>
      <c r="O62" s="23">
        <f>SUM(O5:O61)</f>
        <v>0</v>
      </c>
      <c r="P62" s="249">
        <f>SUM(D62:O62)</f>
        <v>99</v>
      </c>
      <c r="Q62" s="24" t="s">
        <v>53</v>
      </c>
    </row>
    <row r="63" spans="1:17" ht="15.75" thickBot="1" x14ac:dyDescent="0.3">
      <c r="A63" s="54"/>
      <c r="B63" s="391"/>
      <c r="C63" s="39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</row>
    <row r="64" spans="1:17" ht="15.75" thickBot="1" x14ac:dyDescent="0.3">
      <c r="A64" s="54"/>
      <c r="B64" s="237" t="s">
        <v>3</v>
      </c>
      <c r="C64" s="247" t="s">
        <v>0</v>
      </c>
      <c r="D64" s="247"/>
      <c r="E64" s="247"/>
      <c r="F64" s="247"/>
      <c r="G64" s="247"/>
      <c r="H64" s="247"/>
      <c r="I64" s="247"/>
      <c r="J64" s="247"/>
      <c r="K64" s="255"/>
      <c r="L64" s="247"/>
      <c r="M64" s="247"/>
      <c r="N64" s="255"/>
      <c r="O64" s="247"/>
      <c r="P64" s="247"/>
      <c r="Q64" s="248"/>
    </row>
    <row r="65" spans="1:17" ht="15.75" thickBot="1" x14ac:dyDescent="0.3">
      <c r="A65" s="54"/>
      <c r="B65" s="369"/>
      <c r="C65" s="370"/>
      <c r="D65" s="147" t="s">
        <v>19</v>
      </c>
      <c r="E65" s="147" t="s">
        <v>20</v>
      </c>
      <c r="F65" s="147" t="s">
        <v>21</v>
      </c>
      <c r="G65" s="147" t="s">
        <v>22</v>
      </c>
      <c r="H65" s="147" t="s">
        <v>23</v>
      </c>
      <c r="I65" s="147" t="s">
        <v>24</v>
      </c>
      <c r="J65" s="147" t="s">
        <v>25</v>
      </c>
      <c r="K65" s="147" t="s">
        <v>26</v>
      </c>
      <c r="L65" s="147" t="s">
        <v>27</v>
      </c>
      <c r="M65" s="147" t="s">
        <v>28</v>
      </c>
      <c r="N65" s="147" t="s">
        <v>29</v>
      </c>
      <c r="O65" s="147" t="s">
        <v>30</v>
      </c>
      <c r="P65" s="389" t="s">
        <v>40</v>
      </c>
      <c r="Q65" s="375"/>
    </row>
    <row r="66" spans="1:17" ht="15.75" thickBot="1" x14ac:dyDescent="0.3">
      <c r="A66" s="54"/>
      <c r="B66" s="371"/>
      <c r="C66" s="372"/>
      <c r="D66" s="147">
        <v>10</v>
      </c>
      <c r="E66" s="147">
        <v>11</v>
      </c>
      <c r="F66" s="147">
        <v>12</v>
      </c>
      <c r="G66" s="147">
        <v>1</v>
      </c>
      <c r="H66" s="147">
        <v>2</v>
      </c>
      <c r="I66" s="147">
        <v>3</v>
      </c>
      <c r="J66" s="147">
        <v>4</v>
      </c>
      <c r="K66" s="147">
        <v>5</v>
      </c>
      <c r="L66" s="147">
        <v>6</v>
      </c>
      <c r="M66" s="147">
        <v>7</v>
      </c>
      <c r="N66" s="147">
        <v>8</v>
      </c>
      <c r="O66" s="147">
        <v>9</v>
      </c>
      <c r="P66" s="390"/>
      <c r="Q66" s="376"/>
    </row>
    <row r="67" spans="1:17" ht="15.75" thickBot="1" x14ac:dyDescent="0.3">
      <c r="A67" s="54"/>
      <c r="B67" s="155" t="str">
        <f>Master!AF7</f>
        <v>AFGHANISTAN</v>
      </c>
      <c r="C67" s="147" t="str">
        <f>Master!AG7</f>
        <v>AF</v>
      </c>
      <c r="D67" s="66">
        <v>1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258">
        <v>0</v>
      </c>
      <c r="L67" s="66">
        <v>0</v>
      </c>
      <c r="M67" s="66">
        <v>0</v>
      </c>
      <c r="N67" s="258">
        <v>0</v>
      </c>
      <c r="O67" s="66"/>
      <c r="P67" s="66">
        <f>SUM(D67:O67)</f>
        <v>1</v>
      </c>
      <c r="Q67" s="155" t="str">
        <f>Master!AF7</f>
        <v>AFGHANISTAN</v>
      </c>
    </row>
    <row r="68" spans="1:17" ht="15.75" thickBot="1" x14ac:dyDescent="0.3">
      <c r="A68" s="54"/>
      <c r="B68" s="155" t="str">
        <f>Master!AF8</f>
        <v>ARMENIA</v>
      </c>
      <c r="C68" s="147" t="str">
        <f>Master!AG8</f>
        <v>AM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258">
        <v>0</v>
      </c>
      <c r="L68" s="66">
        <v>0</v>
      </c>
      <c r="M68" s="66">
        <v>0</v>
      </c>
      <c r="N68" s="258">
        <v>0</v>
      </c>
      <c r="O68" s="66"/>
      <c r="P68" s="258">
        <f t="shared" ref="P68:P123" si="1">SUM(D68:O68)</f>
        <v>0</v>
      </c>
      <c r="Q68" s="155" t="str">
        <f>Master!AF8</f>
        <v>ARMENIA</v>
      </c>
    </row>
    <row r="69" spans="1:17" ht="15.75" thickBot="1" x14ac:dyDescent="0.3">
      <c r="A69" s="54"/>
      <c r="B69" s="155" t="str">
        <f>Master!AF10</f>
        <v>BELARUS</v>
      </c>
      <c r="C69" s="147" t="str">
        <f>Master!AG10</f>
        <v>BO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258">
        <v>0</v>
      </c>
      <c r="L69" s="66">
        <v>0</v>
      </c>
      <c r="M69" s="66">
        <v>0</v>
      </c>
      <c r="N69" s="258">
        <v>0</v>
      </c>
      <c r="O69" s="66"/>
      <c r="P69" s="258">
        <f t="shared" si="1"/>
        <v>0</v>
      </c>
      <c r="Q69" s="155" t="str">
        <f>Master!AF10</f>
        <v>BELARUS</v>
      </c>
    </row>
    <row r="70" spans="1:17" ht="15.75" thickBot="1" x14ac:dyDescent="0.3">
      <c r="A70" s="54"/>
      <c r="B70" s="155" t="str">
        <f>Master!AF11</f>
        <v>BURMA</v>
      </c>
      <c r="C70" s="147" t="str">
        <f>Master!AG11</f>
        <v>BM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258">
        <v>0</v>
      </c>
      <c r="L70" s="66">
        <v>0</v>
      </c>
      <c r="M70" s="66">
        <v>0</v>
      </c>
      <c r="N70" s="258">
        <v>0</v>
      </c>
      <c r="O70" s="66"/>
      <c r="P70" s="258">
        <f t="shared" si="1"/>
        <v>0</v>
      </c>
      <c r="Q70" s="155" t="str">
        <f>Master!AF11</f>
        <v>BURMA</v>
      </c>
    </row>
    <row r="71" spans="1:17" ht="15.75" thickBot="1" x14ac:dyDescent="0.3">
      <c r="A71" s="54"/>
      <c r="B71" s="155" t="str">
        <f>Master!AF12</f>
        <v>BHUTAN</v>
      </c>
      <c r="C71" s="147" t="str">
        <f>Master!AG12</f>
        <v>BT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258">
        <v>0</v>
      </c>
      <c r="L71" s="66">
        <v>0</v>
      </c>
      <c r="M71" s="66">
        <v>0</v>
      </c>
      <c r="N71" s="258">
        <v>0</v>
      </c>
      <c r="O71" s="66"/>
      <c r="P71" s="258">
        <f t="shared" si="1"/>
        <v>0</v>
      </c>
      <c r="Q71" s="155" t="str">
        <f>Master!AF12</f>
        <v>BHUTAN</v>
      </c>
    </row>
    <row r="72" spans="1:17" ht="15.75" thickBot="1" x14ac:dyDescent="0.3">
      <c r="A72" s="54"/>
      <c r="B72" s="155" t="str">
        <f>Master!AF14</f>
        <v>BURUNDI</v>
      </c>
      <c r="C72" s="147" t="str">
        <f>Master!AG14</f>
        <v>BY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258">
        <v>0</v>
      </c>
      <c r="L72" s="66">
        <v>0</v>
      </c>
      <c r="M72" s="66">
        <v>0</v>
      </c>
      <c r="N72" s="258">
        <v>0</v>
      </c>
      <c r="O72" s="66"/>
      <c r="P72" s="258">
        <f t="shared" si="1"/>
        <v>0</v>
      </c>
      <c r="Q72" s="155" t="str">
        <f>Master!AF14</f>
        <v>BURUNDI</v>
      </c>
    </row>
    <row r="73" spans="1:17" ht="15.75" thickBot="1" x14ac:dyDescent="0.3">
      <c r="A73" s="54"/>
      <c r="B73" s="155" t="str">
        <f>Master!AF15</f>
        <v>CAMEROUN</v>
      </c>
      <c r="C73" s="147" t="str">
        <f>Master!AG15</f>
        <v>CM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258">
        <v>0</v>
      </c>
      <c r="L73" s="66">
        <v>0</v>
      </c>
      <c r="M73" s="66">
        <v>0</v>
      </c>
      <c r="N73" s="258">
        <v>0</v>
      </c>
      <c r="O73" s="66"/>
      <c r="P73" s="258">
        <f t="shared" si="1"/>
        <v>0</v>
      </c>
      <c r="Q73" s="155" t="str">
        <f>Master!AF15</f>
        <v>CAMEROUN</v>
      </c>
    </row>
    <row r="74" spans="1:17" ht="15.75" thickBot="1" x14ac:dyDescent="0.3">
      <c r="A74" s="54"/>
      <c r="B74" s="155" t="str">
        <f>Master!AF16</f>
        <v>CENTRAL AFR REP</v>
      </c>
      <c r="C74" s="147" t="str">
        <f>Master!AG16</f>
        <v>CT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258">
        <v>0</v>
      </c>
      <c r="L74" s="66">
        <v>0</v>
      </c>
      <c r="M74" s="66">
        <v>0</v>
      </c>
      <c r="N74" s="258">
        <v>0</v>
      </c>
      <c r="O74" s="66"/>
      <c r="P74" s="258">
        <f t="shared" si="1"/>
        <v>0</v>
      </c>
      <c r="Q74" s="155" t="str">
        <f>Master!AF16</f>
        <v>CENTRAL AFR REP</v>
      </c>
    </row>
    <row r="75" spans="1:17" ht="15.75" thickBot="1" x14ac:dyDescent="0.3">
      <c r="A75" s="54"/>
      <c r="B75" s="155" t="str">
        <f>Master!AF17</f>
        <v>CHINA</v>
      </c>
      <c r="C75" s="147" t="str">
        <f>Master!AG17</f>
        <v>CH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258">
        <v>0</v>
      </c>
      <c r="L75" s="66">
        <v>0</v>
      </c>
      <c r="M75" s="66">
        <v>0</v>
      </c>
      <c r="N75" s="258">
        <v>0</v>
      </c>
      <c r="O75" s="66"/>
      <c r="P75" s="258">
        <f t="shared" si="1"/>
        <v>0</v>
      </c>
      <c r="Q75" s="155" t="str">
        <f>Master!AF17</f>
        <v>CHINA</v>
      </c>
    </row>
    <row r="76" spans="1:17" ht="15.75" thickBot="1" x14ac:dyDescent="0.3">
      <c r="A76" s="54"/>
      <c r="B76" s="155" t="str">
        <f>Master!AF18</f>
        <v>DEM REP OF CONGO</v>
      </c>
      <c r="C76" s="147" t="str">
        <f>Master!AG18</f>
        <v>CG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258">
        <v>0</v>
      </c>
      <c r="L76" s="66">
        <v>0</v>
      </c>
      <c r="M76" s="66">
        <v>0</v>
      </c>
      <c r="N76" s="258">
        <v>0</v>
      </c>
      <c r="O76" s="66"/>
      <c r="P76" s="258">
        <f t="shared" si="1"/>
        <v>0</v>
      </c>
      <c r="Q76" s="155" t="str">
        <f>Master!AF18</f>
        <v>DEM REP OF CONGO</v>
      </c>
    </row>
    <row r="77" spans="1:17" ht="15.75" thickBot="1" x14ac:dyDescent="0.3">
      <c r="A77" s="54"/>
      <c r="B77" s="155" t="str">
        <f>Master!AF19</f>
        <v>COLUMBIA</v>
      </c>
      <c r="C77" s="147" t="str">
        <f>Master!AG19</f>
        <v>CO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258">
        <v>0</v>
      </c>
      <c r="L77" s="66">
        <v>0</v>
      </c>
      <c r="M77" s="66">
        <v>0</v>
      </c>
      <c r="N77" s="258">
        <v>0</v>
      </c>
      <c r="O77" s="66"/>
      <c r="P77" s="258">
        <f t="shared" si="1"/>
        <v>0</v>
      </c>
      <c r="Q77" s="155" t="str">
        <f>Master!AF19</f>
        <v>COLUMBIA</v>
      </c>
    </row>
    <row r="78" spans="1:17" ht="15.75" thickBot="1" x14ac:dyDescent="0.3">
      <c r="A78" s="54"/>
      <c r="B78" s="155" t="str">
        <f>Master!AF20</f>
        <v>CONGO</v>
      </c>
      <c r="C78" s="147" t="str">
        <f>Master!AG20</f>
        <v>CF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258">
        <v>0</v>
      </c>
      <c r="L78" s="66">
        <v>0</v>
      </c>
      <c r="M78" s="66">
        <v>0</v>
      </c>
      <c r="N78" s="258">
        <v>0</v>
      </c>
      <c r="O78" s="66"/>
      <c r="P78" s="258">
        <f t="shared" si="1"/>
        <v>0</v>
      </c>
      <c r="Q78" s="155" t="str">
        <f>Master!AF20</f>
        <v>CONGO</v>
      </c>
    </row>
    <row r="79" spans="1:17" ht="15.75" thickBot="1" x14ac:dyDescent="0.3">
      <c r="A79" s="54"/>
      <c r="B79" s="155" t="str">
        <f>Master!AF21</f>
        <v>CUBA</v>
      </c>
      <c r="C79" s="147" t="str">
        <f>Master!AG21</f>
        <v>CU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258">
        <v>0</v>
      </c>
      <c r="L79" s="66">
        <v>0</v>
      </c>
      <c r="M79" s="66">
        <v>0</v>
      </c>
      <c r="N79" s="258">
        <v>0</v>
      </c>
      <c r="O79" s="66"/>
      <c r="P79" s="258">
        <f t="shared" si="1"/>
        <v>0</v>
      </c>
      <c r="Q79" s="155" t="str">
        <f>Master!AF21</f>
        <v>CUBA</v>
      </c>
    </row>
    <row r="80" spans="1:17" ht="15.75" thickBot="1" x14ac:dyDescent="0.3">
      <c r="A80" s="54"/>
      <c r="B80" s="155" t="str">
        <f>Master!AF22</f>
        <v>CUBAN ENTRANT</v>
      </c>
      <c r="C80" s="147" t="str">
        <f>Master!AG22</f>
        <v>CUE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258">
        <v>0</v>
      </c>
      <c r="L80" s="66">
        <v>0</v>
      </c>
      <c r="M80" s="66">
        <v>0</v>
      </c>
      <c r="N80" s="258">
        <v>0</v>
      </c>
      <c r="O80" s="66"/>
      <c r="P80" s="258">
        <f t="shared" si="1"/>
        <v>0</v>
      </c>
      <c r="Q80" s="155" t="str">
        <f>Master!AF22</f>
        <v>CUBAN ENTRANT</v>
      </c>
    </row>
    <row r="81" spans="1:17" ht="15.75" thickBot="1" x14ac:dyDescent="0.3">
      <c r="A81" s="54"/>
      <c r="B81" s="155" t="str">
        <f>Master!AF23</f>
        <v>ECUADOR</v>
      </c>
      <c r="C81" s="147" t="str">
        <f>Master!AG23</f>
        <v>EC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258">
        <v>0</v>
      </c>
      <c r="L81" s="66">
        <v>0</v>
      </c>
      <c r="M81" s="66">
        <v>0</v>
      </c>
      <c r="N81" s="258">
        <v>0</v>
      </c>
      <c r="O81" s="66"/>
      <c r="P81" s="258">
        <f t="shared" si="1"/>
        <v>0</v>
      </c>
      <c r="Q81" s="155" t="str">
        <f>Master!AF23</f>
        <v>ECUADOR</v>
      </c>
    </row>
    <row r="82" spans="1:17" ht="15.75" thickBot="1" x14ac:dyDescent="0.3">
      <c r="A82" s="54"/>
      <c r="B82" s="155" t="str">
        <f>Master!AF24</f>
        <v>EGYPT</v>
      </c>
      <c r="C82" s="147" t="str">
        <f>Master!AG24</f>
        <v>EG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258">
        <v>0</v>
      </c>
      <c r="L82" s="66">
        <v>0</v>
      </c>
      <c r="M82" s="66">
        <v>0</v>
      </c>
      <c r="N82" s="258">
        <v>0</v>
      </c>
      <c r="O82" s="66"/>
      <c r="P82" s="258">
        <f t="shared" si="1"/>
        <v>0</v>
      </c>
      <c r="Q82" s="155" t="str">
        <f>Master!AF24</f>
        <v>EGYPT</v>
      </c>
    </row>
    <row r="83" spans="1:17" ht="15.75" thickBot="1" x14ac:dyDescent="0.3">
      <c r="A83" s="54"/>
      <c r="B83" s="155" t="str">
        <f>Master!AF25</f>
        <v>ERITREA</v>
      </c>
      <c r="C83" s="147" t="str">
        <f>Master!AG25</f>
        <v>ER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258">
        <v>0</v>
      </c>
      <c r="L83" s="66">
        <v>0</v>
      </c>
      <c r="M83" s="66">
        <v>0</v>
      </c>
      <c r="N83" s="258">
        <v>0</v>
      </c>
      <c r="O83" s="66"/>
      <c r="P83" s="258">
        <f t="shared" si="1"/>
        <v>0</v>
      </c>
      <c r="Q83" s="155" t="str">
        <f>Master!AF25</f>
        <v>ERITREA</v>
      </c>
    </row>
    <row r="84" spans="1:17" ht="15.75" thickBot="1" x14ac:dyDescent="0.3">
      <c r="A84" s="54"/>
      <c r="B84" s="155" t="str">
        <f>Master!AF26</f>
        <v>ETHIOPIA</v>
      </c>
      <c r="C84" s="147" t="str">
        <f>Master!AG26</f>
        <v>ET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258">
        <v>0</v>
      </c>
      <c r="L84" s="66">
        <v>0</v>
      </c>
      <c r="M84" s="66">
        <v>0</v>
      </c>
      <c r="N84" s="258">
        <v>0</v>
      </c>
      <c r="O84" s="66"/>
      <c r="P84" s="258">
        <f t="shared" si="1"/>
        <v>0</v>
      </c>
      <c r="Q84" s="155" t="str">
        <f>Master!AF26</f>
        <v>ETHIOPIA</v>
      </c>
    </row>
    <row r="85" spans="1:17" ht="15.75" thickBot="1" x14ac:dyDescent="0.3">
      <c r="A85" s="54"/>
      <c r="B85" s="155" t="str">
        <f>Master!AF27</f>
        <v>FRANCE</v>
      </c>
      <c r="C85" s="147" t="str">
        <f>Master!AG27</f>
        <v>FR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258">
        <v>0</v>
      </c>
      <c r="L85" s="66">
        <v>0</v>
      </c>
      <c r="M85" s="66">
        <v>0</v>
      </c>
      <c r="N85" s="258">
        <v>0</v>
      </c>
      <c r="O85" s="66"/>
      <c r="P85" s="258">
        <f t="shared" si="1"/>
        <v>0</v>
      </c>
      <c r="Q85" s="155" t="str">
        <f>Master!AF27</f>
        <v>FRANCE</v>
      </c>
    </row>
    <row r="86" spans="1:17" ht="15.75" thickBot="1" x14ac:dyDescent="0.3">
      <c r="A86" s="54"/>
      <c r="B86" s="155" t="str">
        <f>Master!AF28</f>
        <v>GUINEA</v>
      </c>
      <c r="C86" s="147" t="str">
        <f>Master!AG28</f>
        <v>GV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258">
        <v>0</v>
      </c>
      <c r="L86" s="66">
        <v>0</v>
      </c>
      <c r="M86" s="66">
        <v>0</v>
      </c>
      <c r="N86" s="258">
        <v>0</v>
      </c>
      <c r="O86" s="66"/>
      <c r="P86" s="258">
        <f t="shared" si="1"/>
        <v>0</v>
      </c>
      <c r="Q86" s="155" t="str">
        <f>Master!AF28</f>
        <v>GUINEA</v>
      </c>
    </row>
    <row r="87" spans="1:17" ht="15.75" thickBot="1" x14ac:dyDescent="0.3">
      <c r="A87" s="54"/>
      <c r="B87" s="155" t="str">
        <f>Master!AF29</f>
        <v>HAITI</v>
      </c>
      <c r="C87" s="147" t="str">
        <f>Master!AG29</f>
        <v>HA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258">
        <v>0</v>
      </c>
      <c r="L87" s="66">
        <v>0</v>
      </c>
      <c r="M87" s="66">
        <v>0</v>
      </c>
      <c r="N87" s="258">
        <v>0</v>
      </c>
      <c r="O87" s="66"/>
      <c r="P87" s="258">
        <f t="shared" si="1"/>
        <v>0</v>
      </c>
      <c r="Q87" s="155" t="str">
        <f>Master!AF29</f>
        <v>HAITI</v>
      </c>
    </row>
    <row r="88" spans="1:17" ht="15.75" thickBot="1" x14ac:dyDescent="0.3">
      <c r="A88" s="54"/>
      <c r="B88" s="155" t="str">
        <f>Master!AF30</f>
        <v>INDIA</v>
      </c>
      <c r="C88" s="147" t="str">
        <f>Master!AG30</f>
        <v>IN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258">
        <v>0</v>
      </c>
      <c r="L88" s="66">
        <v>0</v>
      </c>
      <c r="M88" s="66">
        <v>0</v>
      </c>
      <c r="N88" s="258">
        <v>0</v>
      </c>
      <c r="O88" s="66"/>
      <c r="P88" s="258">
        <f t="shared" si="1"/>
        <v>0</v>
      </c>
      <c r="Q88" s="155" t="str">
        <f>Master!AF30</f>
        <v>INDIA</v>
      </c>
    </row>
    <row r="89" spans="1:17" ht="15.75" thickBot="1" x14ac:dyDescent="0.3">
      <c r="A89" s="54"/>
      <c r="B89" s="155" t="str">
        <f>Master!AF31</f>
        <v>INDONESIA</v>
      </c>
      <c r="C89" s="147" t="str">
        <f>Master!AG31</f>
        <v>ID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258">
        <v>0</v>
      </c>
      <c r="L89" s="66">
        <v>0</v>
      </c>
      <c r="M89" s="66">
        <v>0</v>
      </c>
      <c r="N89" s="258">
        <v>0</v>
      </c>
      <c r="O89" s="66"/>
      <c r="P89" s="258">
        <f t="shared" si="1"/>
        <v>0</v>
      </c>
      <c r="Q89" s="155" t="str">
        <f>Master!AF31</f>
        <v>INDONESIA</v>
      </c>
    </row>
    <row r="90" spans="1:17" ht="15.75" thickBot="1" x14ac:dyDescent="0.3">
      <c r="A90" s="54"/>
      <c r="B90" s="155" t="str">
        <f>Master!AF32</f>
        <v>IRAN</v>
      </c>
      <c r="C90" s="147" t="str">
        <f>Master!AG32</f>
        <v>IR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258">
        <v>0</v>
      </c>
      <c r="L90" s="66">
        <v>0</v>
      </c>
      <c r="M90" s="66">
        <v>0</v>
      </c>
      <c r="N90" s="258">
        <v>0</v>
      </c>
      <c r="O90" s="66"/>
      <c r="P90" s="258">
        <f t="shared" si="1"/>
        <v>0</v>
      </c>
      <c r="Q90" s="155" t="str">
        <f>Master!AF32</f>
        <v>IRAN</v>
      </c>
    </row>
    <row r="91" spans="1:17" ht="15.75" thickBot="1" x14ac:dyDescent="0.3">
      <c r="A91" s="54"/>
      <c r="B91" s="155" t="str">
        <f>Master!AF33</f>
        <v>IRAQ</v>
      </c>
      <c r="C91" s="147" t="str">
        <f>Master!AG33</f>
        <v>IZ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258">
        <v>0</v>
      </c>
      <c r="L91" s="66">
        <v>0</v>
      </c>
      <c r="M91" s="66">
        <v>0</v>
      </c>
      <c r="N91" s="258">
        <v>0</v>
      </c>
      <c r="O91" s="66"/>
      <c r="P91" s="258">
        <f t="shared" si="1"/>
        <v>0</v>
      </c>
      <c r="Q91" s="155" t="str">
        <f>Master!AF33</f>
        <v>IRAQ</v>
      </c>
    </row>
    <row r="92" spans="1:17" ht="15.75" thickBot="1" x14ac:dyDescent="0.3">
      <c r="A92" s="54"/>
      <c r="B92" s="155" t="str">
        <f>Master!AF34</f>
        <v>IVORY COAST</v>
      </c>
      <c r="C92" s="147" t="str">
        <f>Master!AG34</f>
        <v>IV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258">
        <v>0</v>
      </c>
      <c r="L92" s="66">
        <v>0</v>
      </c>
      <c r="M92" s="66">
        <v>0</v>
      </c>
      <c r="N92" s="258">
        <v>0</v>
      </c>
      <c r="O92" s="66"/>
      <c r="P92" s="258">
        <f t="shared" si="1"/>
        <v>0</v>
      </c>
      <c r="Q92" s="155" t="str">
        <f>Master!AF34</f>
        <v>IVORY COAST</v>
      </c>
    </row>
    <row r="93" spans="1:17" ht="15.75" thickBot="1" x14ac:dyDescent="0.3">
      <c r="A93" s="54"/>
      <c r="B93" s="155" t="str">
        <f>Master!AF35</f>
        <v>JORDAN</v>
      </c>
      <c r="C93" s="147" t="str">
        <f>Master!AG35</f>
        <v>JO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258">
        <v>0</v>
      </c>
      <c r="L93" s="66">
        <v>0</v>
      </c>
      <c r="M93" s="66">
        <v>0</v>
      </c>
      <c r="N93" s="258">
        <v>0</v>
      </c>
      <c r="O93" s="66"/>
      <c r="P93" s="258">
        <f t="shared" si="1"/>
        <v>0</v>
      </c>
      <c r="Q93" s="155" t="str">
        <f>Master!AF35</f>
        <v>JORDAN</v>
      </c>
    </row>
    <row r="94" spans="1:17" ht="15.75" thickBot="1" x14ac:dyDescent="0.3">
      <c r="A94" s="54"/>
      <c r="B94" s="155" t="str">
        <f>Master!AF36</f>
        <v>KAZAKHSTAN</v>
      </c>
      <c r="C94" s="147" t="str">
        <f>Master!AG36</f>
        <v>KZ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258">
        <v>0</v>
      </c>
      <c r="L94" s="66">
        <v>0</v>
      </c>
      <c r="M94" s="66">
        <v>0</v>
      </c>
      <c r="N94" s="258">
        <v>0</v>
      </c>
      <c r="O94" s="66"/>
      <c r="P94" s="258">
        <f t="shared" si="1"/>
        <v>0</v>
      </c>
      <c r="Q94" s="155" t="str">
        <f>Master!AF36</f>
        <v>KAZAKHSTAN</v>
      </c>
    </row>
    <row r="95" spans="1:17" ht="15.75" thickBot="1" x14ac:dyDescent="0.3">
      <c r="A95" s="54"/>
      <c r="B95" s="155" t="str">
        <f>Master!AF37</f>
        <v>KENYA</v>
      </c>
      <c r="C95" s="147" t="str">
        <f>Master!AG37</f>
        <v>KE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258">
        <v>0</v>
      </c>
      <c r="L95" s="66">
        <v>0</v>
      </c>
      <c r="M95" s="66">
        <v>0</v>
      </c>
      <c r="N95" s="258">
        <v>0</v>
      </c>
      <c r="O95" s="66"/>
      <c r="P95" s="258">
        <f t="shared" si="1"/>
        <v>0</v>
      </c>
      <c r="Q95" s="155" t="str">
        <f>Master!AF37</f>
        <v>KENYA</v>
      </c>
    </row>
    <row r="96" spans="1:17" ht="15.75" thickBot="1" x14ac:dyDescent="0.3">
      <c r="A96" s="54"/>
      <c r="B96" s="155" t="str">
        <f>Master!AF38</f>
        <v>LEBANON</v>
      </c>
      <c r="C96" s="147" t="str">
        <f>Master!AG38</f>
        <v>LE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258">
        <v>0</v>
      </c>
      <c r="L96" s="66">
        <v>0</v>
      </c>
      <c r="M96" s="66">
        <v>0</v>
      </c>
      <c r="N96" s="258">
        <v>0</v>
      </c>
      <c r="O96" s="66"/>
      <c r="P96" s="258">
        <f t="shared" si="1"/>
        <v>0</v>
      </c>
      <c r="Q96" s="155" t="str">
        <f>Master!AF38</f>
        <v>LEBANON</v>
      </c>
    </row>
    <row r="97" spans="1:17" ht="15.75" thickBot="1" x14ac:dyDescent="0.3">
      <c r="A97" s="54"/>
      <c r="B97" s="155" t="str">
        <f>Master!AF39</f>
        <v>LIBERIA</v>
      </c>
      <c r="C97" s="147" t="str">
        <f>Master!AG39</f>
        <v>LI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258">
        <v>0</v>
      </c>
      <c r="L97" s="66">
        <v>0</v>
      </c>
      <c r="M97" s="66">
        <v>0</v>
      </c>
      <c r="N97" s="258">
        <v>0</v>
      </c>
      <c r="O97" s="66"/>
      <c r="P97" s="258">
        <f t="shared" si="1"/>
        <v>0</v>
      </c>
      <c r="Q97" s="155" t="str">
        <f>Master!AF39</f>
        <v>LIBERIA</v>
      </c>
    </row>
    <row r="98" spans="1:17" ht="15.75" thickBot="1" x14ac:dyDescent="0.3">
      <c r="A98" s="54"/>
      <c r="B98" s="155" t="str">
        <f>Master!AF40</f>
        <v>LIBYA</v>
      </c>
      <c r="C98" s="147" t="str">
        <f>Master!AG40</f>
        <v>LY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258">
        <v>0</v>
      </c>
      <c r="L98" s="66">
        <v>0</v>
      </c>
      <c r="M98" s="66">
        <v>0</v>
      </c>
      <c r="N98" s="258">
        <v>0</v>
      </c>
      <c r="O98" s="66"/>
      <c r="P98" s="258">
        <f t="shared" si="1"/>
        <v>0</v>
      </c>
      <c r="Q98" s="155" t="str">
        <f>Master!AF40</f>
        <v>LIBYA</v>
      </c>
    </row>
    <row r="99" spans="1:17" ht="15.75" thickBot="1" x14ac:dyDescent="0.3">
      <c r="A99" s="54"/>
      <c r="B99" s="155" t="str">
        <f>Master!AF41</f>
        <v>MOLDOVA</v>
      </c>
      <c r="C99" s="147" t="str">
        <f>Master!AG41</f>
        <v>MD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258">
        <v>0</v>
      </c>
      <c r="L99" s="66">
        <v>0</v>
      </c>
      <c r="M99" s="66">
        <v>0</v>
      </c>
      <c r="N99" s="258">
        <v>0</v>
      </c>
      <c r="O99" s="66"/>
      <c r="P99" s="258">
        <f t="shared" si="1"/>
        <v>0</v>
      </c>
      <c r="Q99" s="155" t="str">
        <f>Master!AF41</f>
        <v>MOLDOVA</v>
      </c>
    </row>
    <row r="100" spans="1:17" ht="15.75" thickBot="1" x14ac:dyDescent="0.3">
      <c r="A100" s="54"/>
      <c r="B100" s="155" t="str">
        <f>Master!AF42</f>
        <v>MALI</v>
      </c>
      <c r="C100" s="147" t="str">
        <f>Master!AG42</f>
        <v>ML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258">
        <v>0</v>
      </c>
      <c r="L100" s="66">
        <v>0</v>
      </c>
      <c r="M100" s="66">
        <v>0</v>
      </c>
      <c r="N100" s="258">
        <v>0</v>
      </c>
      <c r="O100" s="66"/>
      <c r="P100" s="258">
        <f t="shared" si="1"/>
        <v>0</v>
      </c>
      <c r="Q100" s="155" t="str">
        <f>Master!AF42</f>
        <v>MALI</v>
      </c>
    </row>
    <row r="101" spans="1:17" ht="15.75" thickBot="1" x14ac:dyDescent="0.3">
      <c r="A101" s="54"/>
      <c r="B101" s="155" t="str">
        <f>Master!AF43</f>
        <v>MALAYSIA</v>
      </c>
      <c r="C101" s="147" t="str">
        <f>Master!AG43</f>
        <v>MY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258">
        <v>0</v>
      </c>
      <c r="L101" s="66">
        <v>0</v>
      </c>
      <c r="M101" s="66">
        <v>0</v>
      </c>
      <c r="N101" s="258">
        <v>0</v>
      </c>
      <c r="O101" s="66"/>
      <c r="P101" s="258">
        <f t="shared" si="1"/>
        <v>0</v>
      </c>
      <c r="Q101" s="155" t="str">
        <f>Master!AF43</f>
        <v>MALAYSIA</v>
      </c>
    </row>
    <row r="102" spans="1:17" ht="15.75" thickBot="1" x14ac:dyDescent="0.3">
      <c r="A102" s="54"/>
      <c r="B102" s="155" t="str">
        <f>Master!AF44</f>
        <v>NAMIBIA</v>
      </c>
      <c r="C102" s="147" t="str">
        <f>Master!AG44</f>
        <v>WA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258">
        <v>0</v>
      </c>
      <c r="L102" s="66">
        <v>0</v>
      </c>
      <c r="M102" s="66">
        <v>0</v>
      </c>
      <c r="N102" s="258">
        <v>0</v>
      </c>
      <c r="O102" s="66"/>
      <c r="P102" s="258">
        <f t="shared" si="1"/>
        <v>0</v>
      </c>
      <c r="Q102" s="155" t="str">
        <f>Master!AF44</f>
        <v>NAMIBIA</v>
      </c>
    </row>
    <row r="103" spans="1:17" ht="15.75" thickBot="1" x14ac:dyDescent="0.3">
      <c r="A103" s="54"/>
      <c r="B103" s="155" t="str">
        <f>Master!AF45</f>
        <v>NEPAL</v>
      </c>
      <c r="C103" s="147" t="str">
        <f>Master!AG45</f>
        <v>NP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258">
        <v>0</v>
      </c>
      <c r="L103" s="66">
        <v>0</v>
      </c>
      <c r="M103" s="66">
        <v>0</v>
      </c>
      <c r="N103" s="258">
        <v>0</v>
      </c>
      <c r="O103" s="66"/>
      <c r="P103" s="258">
        <f t="shared" si="1"/>
        <v>0</v>
      </c>
      <c r="Q103" s="155" t="str">
        <f>Master!AF45</f>
        <v>NEPAL</v>
      </c>
    </row>
    <row r="104" spans="1:17" ht="15.75" thickBot="1" x14ac:dyDescent="0.3">
      <c r="A104" s="54"/>
      <c r="B104" s="155" t="str">
        <f>Master!AF46</f>
        <v>NIGERIA</v>
      </c>
      <c r="C104" s="147" t="str">
        <f>Master!AG46</f>
        <v>NI</v>
      </c>
      <c r="D104" s="258">
        <v>0</v>
      </c>
      <c r="E104" s="258">
        <v>0</v>
      </c>
      <c r="F104" s="258">
        <v>0</v>
      </c>
      <c r="G104" s="258">
        <v>0</v>
      </c>
      <c r="H104" s="258">
        <v>0</v>
      </c>
      <c r="I104" s="258">
        <v>0</v>
      </c>
      <c r="J104" s="258">
        <v>0</v>
      </c>
      <c r="K104" s="258">
        <v>0</v>
      </c>
      <c r="L104" s="258">
        <v>0</v>
      </c>
      <c r="M104" s="258">
        <v>0</v>
      </c>
      <c r="N104" s="258">
        <v>0</v>
      </c>
      <c r="O104" s="258"/>
      <c r="P104" s="258">
        <f t="shared" si="1"/>
        <v>0</v>
      </c>
      <c r="Q104" s="155" t="str">
        <f>Master!AF46</f>
        <v>NIGERIA</v>
      </c>
    </row>
    <row r="105" spans="1:17" ht="15.75" thickBot="1" x14ac:dyDescent="0.3">
      <c r="A105" s="54"/>
      <c r="B105" s="155" t="str">
        <f>Master!AF47</f>
        <v>PAKISTAN</v>
      </c>
      <c r="C105" s="147" t="str">
        <f>Master!AG47</f>
        <v>PK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258">
        <v>0</v>
      </c>
      <c r="L105" s="66">
        <v>0</v>
      </c>
      <c r="M105" s="66">
        <v>0</v>
      </c>
      <c r="N105" s="258">
        <v>0</v>
      </c>
      <c r="O105" s="66"/>
      <c r="P105" s="258">
        <f t="shared" si="1"/>
        <v>0</v>
      </c>
      <c r="Q105" s="155" t="str">
        <f>Master!AF47</f>
        <v>PAKISTAN</v>
      </c>
    </row>
    <row r="106" spans="1:17" ht="15.75" thickBot="1" x14ac:dyDescent="0.3">
      <c r="A106" s="54"/>
      <c r="B106" s="155" t="str">
        <f>Master!AF48</f>
        <v>PITCAIRN ISLANDS</v>
      </c>
      <c r="C106" s="147" t="str">
        <f>Master!AG48</f>
        <v>PN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258">
        <v>0</v>
      </c>
      <c r="L106" s="66">
        <v>0</v>
      </c>
      <c r="M106" s="66">
        <v>0</v>
      </c>
      <c r="N106" s="258">
        <v>0</v>
      </c>
      <c r="O106" s="66"/>
      <c r="P106" s="258">
        <f t="shared" si="1"/>
        <v>0</v>
      </c>
      <c r="Q106" s="155" t="str">
        <f>Master!AF48</f>
        <v>PITCAIRN ISLANDS</v>
      </c>
    </row>
    <row r="107" spans="1:17" ht="15.75" thickBot="1" x14ac:dyDescent="0.3">
      <c r="A107" s="54"/>
      <c r="B107" s="155" t="str">
        <f>Master!AF49</f>
        <v>RWANDA</v>
      </c>
      <c r="C107" s="147" t="str">
        <f>Master!AG49</f>
        <v>RW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258">
        <v>0</v>
      </c>
      <c r="L107" s="66">
        <v>0</v>
      </c>
      <c r="M107" s="66">
        <v>0</v>
      </c>
      <c r="N107" s="258">
        <v>0</v>
      </c>
      <c r="O107" s="66"/>
      <c r="P107" s="258">
        <f t="shared" si="1"/>
        <v>0</v>
      </c>
      <c r="Q107" s="155" t="str">
        <f>Master!AF49</f>
        <v>RWANDA</v>
      </c>
    </row>
    <row r="108" spans="1:17" ht="15.75" thickBot="1" x14ac:dyDescent="0.3">
      <c r="A108" s="54"/>
      <c r="B108" s="155" t="str">
        <f>Master!AF50</f>
        <v>RUSSIA</v>
      </c>
      <c r="C108" s="147" t="str">
        <f>Master!AG50</f>
        <v>RS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258">
        <v>0</v>
      </c>
      <c r="L108" s="66">
        <v>0</v>
      </c>
      <c r="M108" s="66">
        <v>0</v>
      </c>
      <c r="N108" s="258">
        <v>0</v>
      </c>
      <c r="O108" s="66"/>
      <c r="P108" s="258">
        <f t="shared" si="1"/>
        <v>0</v>
      </c>
      <c r="Q108" s="155" t="str">
        <f>Master!AF50</f>
        <v>RUSSIA</v>
      </c>
    </row>
    <row r="109" spans="1:17" ht="15.75" thickBot="1" x14ac:dyDescent="0.3">
      <c r="A109" s="54"/>
      <c r="B109" s="155" t="str">
        <f>Master!AF51</f>
        <v>SIERRA LEON</v>
      </c>
      <c r="C109" s="147" t="str">
        <f>Master!AG51</f>
        <v>SL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258">
        <v>0</v>
      </c>
      <c r="L109" s="66">
        <v>0</v>
      </c>
      <c r="M109" s="66">
        <v>0</v>
      </c>
      <c r="N109" s="258">
        <v>0</v>
      </c>
      <c r="O109" s="66"/>
      <c r="P109" s="258">
        <f t="shared" si="1"/>
        <v>0</v>
      </c>
      <c r="Q109" s="155" t="str">
        <f>Master!AF51</f>
        <v>SIERRA LEON</v>
      </c>
    </row>
    <row r="110" spans="1:17" ht="15.75" thickBot="1" x14ac:dyDescent="0.3">
      <c r="A110" s="54"/>
      <c r="B110" s="155" t="str">
        <f>Master!AF52</f>
        <v>SOMALIA</v>
      </c>
      <c r="C110" s="147" t="str">
        <f>Master!AG52</f>
        <v>SO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258">
        <v>0</v>
      </c>
      <c r="L110" s="66">
        <v>0</v>
      </c>
      <c r="M110" s="66">
        <v>0</v>
      </c>
      <c r="N110" s="258">
        <v>0</v>
      </c>
      <c r="O110" s="66"/>
      <c r="P110" s="258">
        <f t="shared" si="1"/>
        <v>0</v>
      </c>
      <c r="Q110" s="155" t="str">
        <f>Master!AF52</f>
        <v>SOMALIA</v>
      </c>
    </row>
    <row r="111" spans="1:17" ht="15.75" thickBot="1" x14ac:dyDescent="0.3">
      <c r="A111" s="54"/>
      <c r="B111" s="155" t="str">
        <f>Master!AF53</f>
        <v>SPAIN</v>
      </c>
      <c r="C111" s="147" t="str">
        <f>Master!AG53</f>
        <v>ES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258">
        <v>0</v>
      </c>
      <c r="L111" s="66">
        <v>0</v>
      </c>
      <c r="M111" s="66">
        <v>0</v>
      </c>
      <c r="N111" s="258">
        <v>0</v>
      </c>
      <c r="O111" s="66"/>
      <c r="P111" s="258">
        <f t="shared" si="1"/>
        <v>0</v>
      </c>
      <c r="Q111" s="155" t="str">
        <f>Master!AF53</f>
        <v>SPAIN</v>
      </c>
    </row>
    <row r="112" spans="1:17" ht="15.75" thickBot="1" x14ac:dyDescent="0.3">
      <c r="A112" s="54"/>
      <c r="B112" s="155" t="str">
        <f>Master!AF54</f>
        <v>SOUTH SUDAN</v>
      </c>
      <c r="C112" s="147" t="str">
        <f>Master!AG54</f>
        <v>SS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258">
        <v>0</v>
      </c>
      <c r="L112" s="66">
        <v>0</v>
      </c>
      <c r="M112" s="66">
        <v>0</v>
      </c>
      <c r="N112" s="258">
        <v>0</v>
      </c>
      <c r="O112" s="66"/>
      <c r="P112" s="258">
        <f t="shared" si="1"/>
        <v>0</v>
      </c>
      <c r="Q112" s="155" t="str">
        <f>Master!AF54</f>
        <v>SOUTH SUDAN</v>
      </c>
    </row>
    <row r="113" spans="2:17" ht="15.75" thickBot="1" x14ac:dyDescent="0.3">
      <c r="B113" s="155" t="str">
        <f>Master!AF55</f>
        <v>SRI LANKA</v>
      </c>
      <c r="C113" s="147" t="str">
        <f>Master!AG55</f>
        <v>CE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258">
        <v>0</v>
      </c>
      <c r="L113" s="66">
        <v>0</v>
      </c>
      <c r="M113" s="66">
        <v>0</v>
      </c>
      <c r="N113" s="258">
        <v>0</v>
      </c>
      <c r="O113" s="66"/>
      <c r="P113" s="258">
        <f t="shared" si="1"/>
        <v>0</v>
      </c>
      <c r="Q113" s="155" t="str">
        <f>Master!AF55</f>
        <v>SRI LANKA</v>
      </c>
    </row>
    <row r="114" spans="2:17" ht="15.75" thickBot="1" x14ac:dyDescent="0.3">
      <c r="B114" s="155" t="str">
        <f>Master!AF56</f>
        <v>SUDAN</v>
      </c>
      <c r="C114" s="147" t="str">
        <f>Master!AG56</f>
        <v>SU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258">
        <v>0</v>
      </c>
      <c r="L114" s="66">
        <v>0</v>
      </c>
      <c r="M114" s="66">
        <v>0</v>
      </c>
      <c r="N114" s="258">
        <v>0</v>
      </c>
      <c r="O114" s="66"/>
      <c r="P114" s="258">
        <f t="shared" si="1"/>
        <v>0</v>
      </c>
      <c r="Q114" s="155" t="str">
        <f>Master!AF56</f>
        <v>SUDAN</v>
      </c>
    </row>
    <row r="115" spans="2:17" ht="15.75" thickBot="1" x14ac:dyDescent="0.3">
      <c r="B115" s="155" t="str">
        <f>Master!AF57</f>
        <v>SYRIA</v>
      </c>
      <c r="C115" s="147" t="str">
        <f>Master!AG57</f>
        <v>SY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258">
        <v>0</v>
      </c>
      <c r="L115" s="66">
        <v>0</v>
      </c>
      <c r="M115" s="66">
        <v>0</v>
      </c>
      <c r="N115" s="258">
        <v>0</v>
      </c>
      <c r="O115" s="66"/>
      <c r="P115" s="258">
        <f t="shared" si="1"/>
        <v>0</v>
      </c>
      <c r="Q115" s="155" t="str">
        <f>Master!AF57</f>
        <v>SYRIA</v>
      </c>
    </row>
    <row r="116" spans="2:17" ht="15.75" thickBot="1" x14ac:dyDescent="0.3">
      <c r="B116" s="155" t="str">
        <f>Master!AF58</f>
        <v>TAJIKISTAN</v>
      </c>
      <c r="C116" s="147" t="str">
        <f>Master!AG58</f>
        <v>TI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258">
        <v>0</v>
      </c>
      <c r="L116" s="66">
        <v>0</v>
      </c>
      <c r="M116" s="66">
        <v>0</v>
      </c>
      <c r="N116" s="258">
        <v>0</v>
      </c>
      <c r="O116" s="66"/>
      <c r="P116" s="258">
        <f t="shared" si="1"/>
        <v>0</v>
      </c>
      <c r="Q116" s="155" t="str">
        <f>Master!AF58</f>
        <v>TAJIKISTAN</v>
      </c>
    </row>
    <row r="117" spans="2:17" ht="15.75" thickBot="1" x14ac:dyDescent="0.3">
      <c r="B117" s="155" t="str">
        <f>Master!AF59</f>
        <v>TANZANIA</v>
      </c>
      <c r="C117" s="147" t="str">
        <f>Master!AG59</f>
        <v>TZ</v>
      </c>
      <c r="D117" s="66">
        <v>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258">
        <v>0</v>
      </c>
      <c r="L117" s="66">
        <v>0</v>
      </c>
      <c r="M117" s="66">
        <v>0</v>
      </c>
      <c r="N117" s="258">
        <v>0</v>
      </c>
      <c r="O117" s="66"/>
      <c r="P117" s="258">
        <f t="shared" si="1"/>
        <v>0</v>
      </c>
      <c r="Q117" s="155" t="str">
        <f>Master!AF59</f>
        <v>TANZANIA</v>
      </c>
    </row>
    <row r="118" spans="2:17" ht="15.75" thickBot="1" x14ac:dyDescent="0.3">
      <c r="B118" s="155" t="str">
        <f>Master!AF60</f>
        <v>THAILAND</v>
      </c>
      <c r="C118" s="147" t="str">
        <f>Master!AG60</f>
        <v>TH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258">
        <v>0</v>
      </c>
      <c r="L118" s="66">
        <v>0</v>
      </c>
      <c r="M118" s="66">
        <v>0</v>
      </c>
      <c r="N118" s="258">
        <v>0</v>
      </c>
      <c r="O118" s="66"/>
      <c r="P118" s="258">
        <f t="shared" si="1"/>
        <v>0</v>
      </c>
      <c r="Q118" s="155" t="str">
        <f>Master!AF60</f>
        <v>THAILAND</v>
      </c>
    </row>
    <row r="119" spans="2:17" ht="15.75" thickBot="1" x14ac:dyDescent="0.3">
      <c r="B119" s="155" t="str">
        <f>Master!AF61</f>
        <v>UGANDA</v>
      </c>
      <c r="C119" s="147" t="str">
        <f>Master!AG61</f>
        <v>UG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258">
        <v>0</v>
      </c>
      <c r="L119" s="66">
        <v>0</v>
      </c>
      <c r="M119" s="66">
        <v>0</v>
      </c>
      <c r="N119" s="258">
        <v>0</v>
      </c>
      <c r="O119" s="66"/>
      <c r="P119" s="258">
        <f t="shared" si="1"/>
        <v>0</v>
      </c>
      <c r="Q119" s="155" t="str">
        <f>Master!AF61</f>
        <v>UGANDA</v>
      </c>
    </row>
    <row r="120" spans="2:17" ht="15.75" thickBot="1" x14ac:dyDescent="0.3">
      <c r="B120" s="155" t="str">
        <f>Master!AF62</f>
        <v>UKRAINE</v>
      </c>
      <c r="C120" s="147" t="str">
        <f>Master!AG62</f>
        <v>UP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258">
        <v>0</v>
      </c>
      <c r="L120" s="66">
        <v>0</v>
      </c>
      <c r="M120" s="66">
        <v>0</v>
      </c>
      <c r="N120" s="258">
        <v>0</v>
      </c>
      <c r="O120" s="66"/>
      <c r="P120" s="258">
        <f t="shared" si="1"/>
        <v>0</v>
      </c>
      <c r="Q120" s="155" t="str">
        <f>Master!AF62</f>
        <v>UKRAINE</v>
      </c>
    </row>
    <row r="121" spans="2:17" ht="15.75" thickBot="1" x14ac:dyDescent="0.3">
      <c r="B121" s="155" t="str">
        <f>Master!AF63</f>
        <v>UZBEKISTAN</v>
      </c>
      <c r="C121" s="147" t="str">
        <f>Master!AG63</f>
        <v>UZ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258">
        <v>0</v>
      </c>
      <c r="L121" s="66">
        <v>0</v>
      </c>
      <c r="M121" s="66">
        <v>0</v>
      </c>
      <c r="N121" s="258">
        <v>0</v>
      </c>
      <c r="O121" s="66"/>
      <c r="P121" s="258">
        <f t="shared" si="1"/>
        <v>0</v>
      </c>
      <c r="Q121" s="155" t="str">
        <f>Master!AF63</f>
        <v>UZBEKISTAN</v>
      </c>
    </row>
    <row r="122" spans="2:17" ht="15.75" thickBot="1" x14ac:dyDescent="0.3">
      <c r="B122" s="155" t="str">
        <f>Master!AF64</f>
        <v>VIETNAM</v>
      </c>
      <c r="C122" s="147" t="str">
        <f>Master!AG64</f>
        <v>VM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258">
        <v>0</v>
      </c>
      <c r="L122" s="66">
        <v>0</v>
      </c>
      <c r="M122" s="66">
        <v>0</v>
      </c>
      <c r="N122" s="258">
        <v>0</v>
      </c>
      <c r="O122" s="66"/>
      <c r="P122" s="258">
        <f t="shared" si="1"/>
        <v>0</v>
      </c>
      <c r="Q122" s="155" t="str">
        <f>Master!AF64</f>
        <v>VIETNAM</v>
      </c>
    </row>
    <row r="123" spans="2:17" ht="15.75" thickBot="1" x14ac:dyDescent="0.3">
      <c r="B123" s="155" t="str">
        <f>Master!AF65</f>
        <v>ZAMBIA</v>
      </c>
      <c r="C123" s="147" t="str">
        <f>Master!AG65</f>
        <v>ZA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258">
        <v>0</v>
      </c>
      <c r="L123" s="66">
        <v>0</v>
      </c>
      <c r="M123" s="66">
        <v>0</v>
      </c>
      <c r="N123" s="258">
        <v>0</v>
      </c>
      <c r="O123" s="66"/>
      <c r="P123" s="258">
        <f t="shared" si="1"/>
        <v>0</v>
      </c>
      <c r="Q123" s="155" t="str">
        <f>Master!AF65</f>
        <v>ZAMBIA</v>
      </c>
    </row>
    <row r="124" spans="2:17" ht="15.75" thickBot="1" x14ac:dyDescent="0.3">
      <c r="B124" s="379" t="s">
        <v>53</v>
      </c>
      <c r="C124" s="380"/>
      <c r="D124" s="23">
        <f t="shared" ref="D124:J124" si="2">SUM(D67:D123)</f>
        <v>1</v>
      </c>
      <c r="E124" s="23">
        <f t="shared" si="2"/>
        <v>0</v>
      </c>
      <c r="F124" s="23">
        <f t="shared" si="2"/>
        <v>0</v>
      </c>
      <c r="G124" s="23">
        <f t="shared" si="2"/>
        <v>0</v>
      </c>
      <c r="H124" s="23">
        <f t="shared" si="2"/>
        <v>0</v>
      </c>
      <c r="I124" s="23">
        <f t="shared" si="2"/>
        <v>0</v>
      </c>
      <c r="J124" s="23">
        <f t="shared" si="2"/>
        <v>0</v>
      </c>
      <c r="K124" s="249">
        <v>0</v>
      </c>
      <c r="L124" s="23">
        <v>0</v>
      </c>
      <c r="M124" s="23">
        <v>0</v>
      </c>
      <c r="N124" s="249">
        <v>0</v>
      </c>
      <c r="O124" s="23">
        <f>SUM(O67:O123)</f>
        <v>0</v>
      </c>
      <c r="P124" s="249">
        <f>SUM(D124:O124)</f>
        <v>1</v>
      </c>
      <c r="Q124" s="24" t="s">
        <v>53</v>
      </c>
    </row>
  </sheetData>
  <mergeCells count="10">
    <mergeCell ref="B124:C124"/>
    <mergeCell ref="B2:I2"/>
    <mergeCell ref="B3:C4"/>
    <mergeCell ref="P3:P4"/>
    <mergeCell ref="Q3:Q4"/>
    <mergeCell ref="B62:C62"/>
    <mergeCell ref="B63:C63"/>
    <mergeCell ref="B65:C66"/>
    <mergeCell ref="P65:P66"/>
    <mergeCell ref="Q65:Q6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Q65"/>
  <sheetViews>
    <sheetView zoomScaleNormal="100" workbookViewId="0">
      <selection activeCell="S74" sqref="S74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17" ht="10.5" customHeight="1" thickBot="1" x14ac:dyDescent="0.3"/>
    <row r="2" spans="2:17" ht="15.75" thickBot="1" x14ac:dyDescent="0.3">
      <c r="B2" s="383" t="s">
        <v>3</v>
      </c>
      <c r="C2" s="384"/>
      <c r="D2" s="384"/>
      <c r="E2" s="384"/>
      <c r="F2" s="384"/>
      <c r="G2" s="384"/>
      <c r="H2" s="384"/>
      <c r="I2" s="384"/>
      <c r="J2" s="387" t="s">
        <v>15</v>
      </c>
      <c r="K2" s="387"/>
      <c r="L2" s="387"/>
      <c r="M2" s="387"/>
      <c r="N2" s="387"/>
      <c r="O2" s="387"/>
      <c r="P2" s="387"/>
      <c r="Q2" s="388"/>
    </row>
    <row r="3" spans="2:17" ht="13.5" customHeight="1" thickBot="1" x14ac:dyDescent="0.3">
      <c r="B3" s="369"/>
      <c r="C3" s="370"/>
      <c r="D3" s="147" t="s">
        <v>19</v>
      </c>
      <c r="E3" s="147" t="s">
        <v>20</v>
      </c>
      <c r="F3" s="147" t="s">
        <v>21</v>
      </c>
      <c r="G3" s="147" t="s">
        <v>22</v>
      </c>
      <c r="H3" s="147" t="s">
        <v>23</v>
      </c>
      <c r="I3" s="147" t="s">
        <v>24</v>
      </c>
      <c r="J3" s="147" t="s">
        <v>25</v>
      </c>
      <c r="K3" s="147" t="s">
        <v>26</v>
      </c>
      <c r="L3" s="147" t="s">
        <v>27</v>
      </c>
      <c r="M3" s="147" t="s">
        <v>28</v>
      </c>
      <c r="N3" s="147" t="s">
        <v>29</v>
      </c>
      <c r="O3" s="147" t="s">
        <v>30</v>
      </c>
      <c r="P3" s="389" t="s">
        <v>40</v>
      </c>
      <c r="Q3" s="375"/>
    </row>
    <row r="4" spans="2:17" ht="13.5" customHeight="1" thickBot="1" x14ac:dyDescent="0.3">
      <c r="B4" s="371"/>
      <c r="C4" s="372"/>
      <c r="D4" s="147">
        <v>10</v>
      </c>
      <c r="E4" s="147">
        <v>11</v>
      </c>
      <c r="F4" s="147">
        <v>12</v>
      </c>
      <c r="G4" s="147">
        <v>1</v>
      </c>
      <c r="H4" s="147">
        <v>2</v>
      </c>
      <c r="I4" s="147">
        <v>3</v>
      </c>
      <c r="J4" s="147">
        <v>4</v>
      </c>
      <c r="K4" s="147">
        <v>5</v>
      </c>
      <c r="L4" s="147">
        <v>6</v>
      </c>
      <c r="M4" s="147">
        <v>7</v>
      </c>
      <c r="N4" s="147">
        <v>8</v>
      </c>
      <c r="O4" s="147">
        <v>9</v>
      </c>
      <c r="P4" s="390"/>
      <c r="Q4" s="376"/>
    </row>
    <row r="5" spans="2:17" ht="15.75" thickBot="1" x14ac:dyDescent="0.3">
      <c r="B5" s="155" t="str">
        <f>Master!AF7</f>
        <v>AFGHANISTAN</v>
      </c>
      <c r="C5" s="147" t="str">
        <f>Master!AG7</f>
        <v>AF</v>
      </c>
      <c r="D5" s="258">
        <v>0</v>
      </c>
      <c r="E5" s="66">
        <v>0</v>
      </c>
      <c r="F5" s="258">
        <v>0</v>
      </c>
      <c r="G5" s="258">
        <v>0</v>
      </c>
      <c r="H5" s="258">
        <v>1</v>
      </c>
      <c r="I5" s="258">
        <v>0</v>
      </c>
      <c r="J5" s="258">
        <v>0</v>
      </c>
      <c r="K5" s="258">
        <v>0</v>
      </c>
      <c r="L5" s="258">
        <v>0</v>
      </c>
      <c r="M5" s="258">
        <v>0</v>
      </c>
      <c r="N5" s="258">
        <v>8</v>
      </c>
      <c r="O5" s="258">
        <v>0</v>
      </c>
      <c r="P5" s="258">
        <f>SUM(D5:O5)</f>
        <v>9</v>
      </c>
      <c r="Q5" s="155" t="str">
        <f>Master!AF7</f>
        <v>AFGHANISTAN</v>
      </c>
    </row>
    <row r="6" spans="2:17" ht="15.75" thickBot="1" x14ac:dyDescent="0.3">
      <c r="B6" s="155" t="str">
        <f>Master!AF8</f>
        <v>ARMENIA</v>
      </c>
      <c r="C6" s="147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5" t="str">
        <f>Master!AF8</f>
        <v>ARMENIA</v>
      </c>
    </row>
    <row r="7" spans="2:17" ht="15.75" thickBot="1" x14ac:dyDescent="0.3">
      <c r="B7" s="155" t="s">
        <v>780</v>
      </c>
      <c r="C7" s="147"/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155" t="s">
        <v>780</v>
      </c>
    </row>
    <row r="8" spans="2:17" ht="15.75" thickBot="1" x14ac:dyDescent="0.3">
      <c r="B8" s="155" t="str">
        <f>Master!AF10</f>
        <v>BELARUS</v>
      </c>
      <c r="C8" s="147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0</v>
      </c>
      <c r="Q8" s="155" t="str">
        <f>Master!AF10</f>
        <v>BELARUS</v>
      </c>
    </row>
    <row r="9" spans="2:17" ht="15.75" thickBot="1" x14ac:dyDescent="0.3">
      <c r="B9" s="155" t="str">
        <f>Master!AF11</f>
        <v>BURMA</v>
      </c>
      <c r="C9" s="147" t="str">
        <f>Master!AG11</f>
        <v>BM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8">
        <v>0</v>
      </c>
      <c r="P9" s="258">
        <f t="shared" si="0"/>
        <v>0</v>
      </c>
      <c r="Q9" s="155" t="str">
        <f>Master!AF11</f>
        <v>BURMA</v>
      </c>
    </row>
    <row r="10" spans="2:17" ht="15.75" thickBot="1" x14ac:dyDescent="0.3">
      <c r="B10" s="155" t="str">
        <f>Master!AF12</f>
        <v>BHUTAN</v>
      </c>
      <c r="C10" s="147" t="str">
        <f>Master!AG12</f>
        <v>BT</v>
      </c>
      <c r="D10" s="258">
        <v>2</v>
      </c>
      <c r="E10" s="258">
        <v>3</v>
      </c>
      <c r="F10" s="258">
        <v>7</v>
      </c>
      <c r="G10" s="258">
        <v>3</v>
      </c>
      <c r="H10" s="258">
        <v>0</v>
      </c>
      <c r="I10" s="258">
        <v>0</v>
      </c>
      <c r="J10" s="258">
        <v>3</v>
      </c>
      <c r="K10" s="258">
        <v>13</v>
      </c>
      <c r="L10" s="258">
        <v>0</v>
      </c>
      <c r="M10" s="258">
        <v>0</v>
      </c>
      <c r="N10" s="258">
        <v>0</v>
      </c>
      <c r="O10" s="258">
        <v>6</v>
      </c>
      <c r="P10" s="258">
        <f t="shared" si="0"/>
        <v>37</v>
      </c>
      <c r="Q10" s="155" t="str">
        <f>Master!AF12</f>
        <v>BHUTAN</v>
      </c>
    </row>
    <row r="11" spans="2:17" ht="15.75" thickBot="1" x14ac:dyDescent="0.3">
      <c r="B11" s="155" t="s">
        <v>779</v>
      </c>
      <c r="C11" s="147"/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5" t="s">
        <v>779</v>
      </c>
    </row>
    <row r="12" spans="2:17" ht="15.75" thickBot="1" x14ac:dyDescent="0.3">
      <c r="B12" s="155" t="str">
        <f>Master!AF14</f>
        <v>BURUNDI</v>
      </c>
      <c r="C12" s="147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5" t="str">
        <f>Master!AF14</f>
        <v>BURUNDI</v>
      </c>
    </row>
    <row r="13" spans="2:17" ht="15.75" thickBot="1" x14ac:dyDescent="0.3">
      <c r="B13" s="155" t="str">
        <f>Master!AF15</f>
        <v>CAMEROUN</v>
      </c>
      <c r="C13" s="147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155" t="str">
        <f>Master!AF15</f>
        <v>CAMEROUN</v>
      </c>
    </row>
    <row r="14" spans="2:17" ht="15.75" thickBot="1" x14ac:dyDescent="0.3">
      <c r="B14" s="155" t="str">
        <f>Master!AF16</f>
        <v>CENTRAL AFR REP</v>
      </c>
      <c r="C14" s="147" t="str">
        <f>Master!AG16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f t="shared" si="0"/>
        <v>0</v>
      </c>
      <c r="Q14" s="155" t="str">
        <f>Master!AF16</f>
        <v>CENTRAL AFR REP</v>
      </c>
    </row>
    <row r="15" spans="2:17" ht="15.75" thickBot="1" x14ac:dyDescent="0.3">
      <c r="B15" s="155" t="str">
        <f>Master!AF17</f>
        <v>CHINA</v>
      </c>
      <c r="C15" s="147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55" t="str">
        <f>Master!AF17</f>
        <v>CHINA</v>
      </c>
    </row>
    <row r="16" spans="2:17" ht="15.75" thickBot="1" x14ac:dyDescent="0.3">
      <c r="B16" s="155" t="str">
        <f>Master!AF18</f>
        <v>DEM REP OF CONGO</v>
      </c>
      <c r="C16" s="147" t="str">
        <f>Master!AG18</f>
        <v>CG</v>
      </c>
      <c r="D16" s="258">
        <v>13</v>
      </c>
      <c r="E16" s="258">
        <v>4</v>
      </c>
      <c r="F16" s="258">
        <v>1</v>
      </c>
      <c r="G16" s="258">
        <v>13</v>
      </c>
      <c r="H16" s="258">
        <v>0</v>
      </c>
      <c r="I16" s="258">
        <v>5</v>
      </c>
      <c r="J16" s="258">
        <v>0</v>
      </c>
      <c r="K16" s="258">
        <v>12</v>
      </c>
      <c r="L16" s="258">
        <v>0</v>
      </c>
      <c r="M16" s="258">
        <v>0</v>
      </c>
      <c r="N16" s="258">
        <v>0</v>
      </c>
      <c r="O16" s="258">
        <v>3</v>
      </c>
      <c r="P16" s="258">
        <f t="shared" si="0"/>
        <v>51</v>
      </c>
      <c r="Q16" s="155" t="str">
        <f>Master!AF18</f>
        <v>DEM REP OF CONGO</v>
      </c>
    </row>
    <row r="17" spans="2:17" ht="15.75" thickBot="1" x14ac:dyDescent="0.3">
      <c r="B17" s="155" t="str">
        <f>Master!AF19</f>
        <v>COLUMBIA</v>
      </c>
      <c r="C17" s="147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0</v>
      </c>
      <c r="Q17" s="155" t="str">
        <f>Master!AF19</f>
        <v>COLUMBIA</v>
      </c>
    </row>
    <row r="18" spans="2:17" ht="15.75" thickBot="1" x14ac:dyDescent="0.3">
      <c r="B18" s="155" t="str">
        <f>Master!AF20</f>
        <v>CONGO</v>
      </c>
      <c r="C18" s="147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55" t="str">
        <f>Master!AF20</f>
        <v>CONGO</v>
      </c>
    </row>
    <row r="19" spans="2:17" ht="15.75" thickBot="1" x14ac:dyDescent="0.3">
      <c r="B19" s="155" t="str">
        <f>Master!AF21</f>
        <v>CUBA</v>
      </c>
      <c r="C19" s="147" t="str">
        <f>Master!AG21</f>
        <v>CU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f t="shared" si="0"/>
        <v>0</v>
      </c>
      <c r="Q19" s="155" t="str">
        <f>Master!AF21</f>
        <v>CUBA</v>
      </c>
    </row>
    <row r="20" spans="2:17" ht="15.75" thickBot="1" x14ac:dyDescent="0.3">
      <c r="B20" s="155" t="str">
        <f>Master!AF22</f>
        <v>CUBAN ENTRANT</v>
      </c>
      <c r="C20" s="147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55" t="str">
        <f>Master!AF22</f>
        <v>CUBAN ENTRANT</v>
      </c>
    </row>
    <row r="21" spans="2:17" ht="15.75" thickBot="1" x14ac:dyDescent="0.3">
      <c r="B21" s="155" t="str">
        <f>Master!AF23</f>
        <v>ECUADOR</v>
      </c>
      <c r="C21" s="147" t="str">
        <f>Master!AG23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155" t="str">
        <f>Master!AF23</f>
        <v>ECUADOR</v>
      </c>
    </row>
    <row r="22" spans="2:17" ht="15.75" thickBot="1" x14ac:dyDescent="0.3">
      <c r="B22" s="155" t="str">
        <f>Master!AF24</f>
        <v>EGYPT</v>
      </c>
      <c r="C22" s="147" t="str">
        <f>Master!AG24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155" t="str">
        <f>Master!AF24</f>
        <v>EGYPT</v>
      </c>
    </row>
    <row r="23" spans="2:17" ht="15.75" thickBot="1" x14ac:dyDescent="0.3">
      <c r="B23" s="155" t="str">
        <f>Master!AF25</f>
        <v>ERITREA</v>
      </c>
      <c r="C23" s="147" t="str">
        <f>Master!AG25</f>
        <v>ER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f t="shared" si="0"/>
        <v>0</v>
      </c>
      <c r="Q23" s="155" t="str">
        <f>Master!AF25</f>
        <v>ERITREA</v>
      </c>
    </row>
    <row r="24" spans="2:17" ht="15.75" thickBot="1" x14ac:dyDescent="0.3">
      <c r="B24" s="155" t="str">
        <f>Master!AF26</f>
        <v>ETHIOPIA</v>
      </c>
      <c r="C24" s="147" t="str">
        <f>Master!AG26</f>
        <v>ET</v>
      </c>
      <c r="D24" s="258">
        <v>1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f t="shared" si="0"/>
        <v>1</v>
      </c>
      <c r="Q24" s="155" t="str">
        <f>Master!AF26</f>
        <v>ETHIOPIA</v>
      </c>
    </row>
    <row r="25" spans="2:17" ht="15.75" thickBot="1" x14ac:dyDescent="0.3">
      <c r="B25" s="155" t="str">
        <f>Master!AF27</f>
        <v>FRANCE</v>
      </c>
      <c r="C25" s="147" t="str">
        <f>Master!AG27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155" t="str">
        <f>Master!AF27</f>
        <v>FRANCE</v>
      </c>
    </row>
    <row r="26" spans="2:17" ht="15.75" thickBot="1" x14ac:dyDescent="0.3">
      <c r="B26" s="155" t="str">
        <f>Master!AF28</f>
        <v>GUINEA</v>
      </c>
      <c r="C26" s="147" t="str">
        <f>Master!AG28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0</v>
      </c>
      <c r="Q26" s="155" t="str">
        <f>Master!AF28</f>
        <v>GUINEA</v>
      </c>
    </row>
    <row r="27" spans="2:17" ht="15.75" thickBot="1" x14ac:dyDescent="0.3">
      <c r="B27" s="155" t="str">
        <f>Master!AF29</f>
        <v>HAITI</v>
      </c>
      <c r="C27" s="147" t="str">
        <f>Master!AG29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f t="shared" si="0"/>
        <v>0</v>
      </c>
      <c r="Q27" s="155" t="str">
        <f>Master!AF29</f>
        <v>HAITI</v>
      </c>
    </row>
    <row r="28" spans="2:17" ht="15.75" thickBot="1" x14ac:dyDescent="0.3">
      <c r="B28" s="155" t="str">
        <f>Master!AF30</f>
        <v>INDIA</v>
      </c>
      <c r="C28" s="147" t="str">
        <f>Master!AG30</f>
        <v>IN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f t="shared" si="0"/>
        <v>0</v>
      </c>
      <c r="Q28" s="155" t="str">
        <f>Master!AF30</f>
        <v>INDIA</v>
      </c>
    </row>
    <row r="29" spans="2:17" ht="15.75" thickBot="1" x14ac:dyDescent="0.3">
      <c r="B29" s="155" t="str">
        <f>Master!AF31</f>
        <v>INDONESIA</v>
      </c>
      <c r="C29" s="147" t="str">
        <f>Master!AG31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0</v>
      </c>
      <c r="Q29" s="155" t="str">
        <f>Master!AF31</f>
        <v>INDONESIA</v>
      </c>
    </row>
    <row r="30" spans="2:17" ht="15.75" thickBot="1" x14ac:dyDescent="0.3">
      <c r="B30" s="155" t="str">
        <f>Master!AF32</f>
        <v>IRAN</v>
      </c>
      <c r="C30" s="147" t="str">
        <f>Master!AG32</f>
        <v>IR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 t="shared" si="0"/>
        <v>0</v>
      </c>
      <c r="Q30" s="155" t="str">
        <f>Master!AF32</f>
        <v>IRAN</v>
      </c>
    </row>
    <row r="31" spans="2:17" ht="15.75" thickBot="1" x14ac:dyDescent="0.3">
      <c r="B31" s="155" t="str">
        <f>Master!AF33</f>
        <v>IRAQ</v>
      </c>
      <c r="C31" s="147" t="str">
        <f>Master!AG33</f>
        <v>IZ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f t="shared" si="0"/>
        <v>0</v>
      </c>
      <c r="Q31" s="155" t="str">
        <f>Master!AF33</f>
        <v>IRAQ</v>
      </c>
    </row>
    <row r="32" spans="2:17" ht="15.75" thickBot="1" x14ac:dyDescent="0.3">
      <c r="B32" s="155" t="str">
        <f>Master!AF34</f>
        <v>IVORY COAST</v>
      </c>
      <c r="C32" s="147" t="str">
        <f>Master!AG34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 t="shared" si="0"/>
        <v>0</v>
      </c>
      <c r="Q32" s="155" t="str">
        <f>Master!AF34</f>
        <v>IVORY COAST</v>
      </c>
    </row>
    <row r="33" spans="2:17" ht="15.75" thickBot="1" x14ac:dyDescent="0.3">
      <c r="B33" s="155" t="str">
        <f>Master!AF35</f>
        <v>JORDAN</v>
      </c>
      <c r="C33" s="147" t="str">
        <f>Master!AG35</f>
        <v>JO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0</v>
      </c>
      <c r="Q33" s="155" t="str">
        <f>Master!AF35</f>
        <v>JORDAN</v>
      </c>
    </row>
    <row r="34" spans="2:17" ht="15.75" thickBot="1" x14ac:dyDescent="0.3">
      <c r="B34" s="155" t="str">
        <f>Master!AF36</f>
        <v>KAZAKHSTAN</v>
      </c>
      <c r="C34" s="147" t="str">
        <f>Master!AG36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155" t="str">
        <f>Master!AF36</f>
        <v>KAZAKHSTAN</v>
      </c>
    </row>
    <row r="35" spans="2:17" ht="15.75" thickBot="1" x14ac:dyDescent="0.3">
      <c r="B35" s="155" t="str">
        <f>Master!AF37</f>
        <v>KENYA</v>
      </c>
      <c r="C35" s="147" t="str">
        <f>Master!AG37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155" t="str">
        <f>Master!AF37</f>
        <v>KENYA</v>
      </c>
    </row>
    <row r="36" spans="2:17" ht="15.75" thickBot="1" x14ac:dyDescent="0.3">
      <c r="B36" s="155" t="str">
        <f>Master!AF38</f>
        <v>LEBANON</v>
      </c>
      <c r="C36" s="147" t="str">
        <f>Master!AG38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155" t="str">
        <f>Master!AF38</f>
        <v>LEBANON</v>
      </c>
    </row>
    <row r="37" spans="2:17" ht="15.75" thickBot="1" x14ac:dyDescent="0.3">
      <c r="B37" s="155" t="str">
        <f>Master!AF39</f>
        <v>LIBERIA</v>
      </c>
      <c r="C37" s="147" t="str">
        <f>Master!AG39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155" t="str">
        <f>Master!AF39</f>
        <v>LIBERIA</v>
      </c>
    </row>
    <row r="38" spans="2:17" ht="15.75" thickBot="1" x14ac:dyDescent="0.3">
      <c r="B38" s="155" t="str">
        <f>Master!AF40</f>
        <v>LIBYA</v>
      </c>
      <c r="C38" s="147" t="str">
        <f>Master!AG40</f>
        <v>LY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0</v>
      </c>
      <c r="Q38" s="155" t="str">
        <f>Master!AF40</f>
        <v>LIBYA</v>
      </c>
    </row>
    <row r="39" spans="2:17" ht="15.75" thickBot="1" x14ac:dyDescent="0.3">
      <c r="B39" s="155" t="str">
        <f>Master!AF41</f>
        <v>MOLDOVA</v>
      </c>
      <c r="C39" s="147" t="str">
        <f>Master!AG41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0</v>
      </c>
      <c r="Q39" s="155" t="str">
        <f>Master!AF41</f>
        <v>MOLDOVA</v>
      </c>
    </row>
    <row r="40" spans="2:17" ht="15.75" thickBot="1" x14ac:dyDescent="0.3">
      <c r="B40" s="155" t="str">
        <f>Master!AF42</f>
        <v>MALI</v>
      </c>
      <c r="C40" s="147" t="str">
        <f>Master!AG42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155" t="str">
        <f>Master!AF42</f>
        <v>MALI</v>
      </c>
    </row>
    <row r="41" spans="2:17" ht="15.75" thickBot="1" x14ac:dyDescent="0.3">
      <c r="B41" s="155" t="str">
        <f>Master!AF43</f>
        <v>MALAYSIA</v>
      </c>
      <c r="C41" s="147" t="str">
        <f>Master!AG43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 t="shared" si="0"/>
        <v>0</v>
      </c>
      <c r="Q41" s="155" t="str">
        <f>Master!AF43</f>
        <v>MALAYSIA</v>
      </c>
    </row>
    <row r="42" spans="2:17" ht="15.75" thickBot="1" x14ac:dyDescent="0.3">
      <c r="B42" s="155" t="str">
        <f>Master!AF44</f>
        <v>NAMIBIA</v>
      </c>
      <c r="C42" s="147" t="str">
        <f>Master!AG44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155" t="str">
        <f>Master!AF44</f>
        <v>NAMIBIA</v>
      </c>
    </row>
    <row r="43" spans="2:17" ht="15.75" thickBot="1" x14ac:dyDescent="0.3">
      <c r="B43" s="155" t="str">
        <f>Master!AF45</f>
        <v>NEPAL</v>
      </c>
      <c r="C43" s="147" t="str">
        <f>Master!AG45</f>
        <v>NP</v>
      </c>
      <c r="D43" s="258">
        <v>0</v>
      </c>
      <c r="E43" s="258">
        <v>0</v>
      </c>
      <c r="F43" s="258">
        <v>1</v>
      </c>
      <c r="G43" s="258">
        <v>0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8">
        <v>0</v>
      </c>
      <c r="N43" s="258">
        <v>0</v>
      </c>
      <c r="O43" s="258">
        <v>1</v>
      </c>
      <c r="P43" s="258">
        <f t="shared" si="0"/>
        <v>2</v>
      </c>
      <c r="Q43" s="155" t="str">
        <f>Master!AF45</f>
        <v>NEPAL</v>
      </c>
    </row>
    <row r="44" spans="2:17" ht="15.75" thickBot="1" x14ac:dyDescent="0.3">
      <c r="B44" s="155" t="str">
        <f>Master!AF46</f>
        <v>NIGERIA</v>
      </c>
      <c r="C44" s="147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5" t="str">
        <f>Master!AF46</f>
        <v>NIGERIA</v>
      </c>
    </row>
    <row r="45" spans="2:17" ht="15.75" thickBot="1" x14ac:dyDescent="0.3">
      <c r="B45" s="155" t="str">
        <f>Master!AF47</f>
        <v>PAKISTAN</v>
      </c>
      <c r="C45" s="147" t="str">
        <f>Master!AG47</f>
        <v>PK</v>
      </c>
      <c r="D45" s="258">
        <v>0</v>
      </c>
      <c r="E45" s="258">
        <v>0</v>
      </c>
      <c r="F45" s="258">
        <v>0</v>
      </c>
      <c r="G45" s="258">
        <v>1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 t="shared" si="0"/>
        <v>1</v>
      </c>
      <c r="Q45" s="155" t="str">
        <f>Master!AF47</f>
        <v>PAKISTAN</v>
      </c>
    </row>
    <row r="46" spans="2:17" ht="15.75" thickBot="1" x14ac:dyDescent="0.3">
      <c r="B46" s="155" t="str">
        <f>Master!AF48</f>
        <v>PITCAIRN ISLANDS</v>
      </c>
      <c r="C46" s="147" t="str">
        <f>Master!AG48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 t="shared" si="0"/>
        <v>0</v>
      </c>
      <c r="Q46" s="155" t="str">
        <f>Master!AF48</f>
        <v>PITCAIRN ISLANDS</v>
      </c>
    </row>
    <row r="47" spans="2:17" ht="15.75" thickBot="1" x14ac:dyDescent="0.3">
      <c r="B47" s="155" t="str">
        <f>Master!AF49</f>
        <v>RWANDA</v>
      </c>
      <c r="C47" s="147" t="str">
        <f>Master!AG49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1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f t="shared" si="0"/>
        <v>1</v>
      </c>
      <c r="Q47" s="155" t="str">
        <f>Master!AF49</f>
        <v>RWANDA</v>
      </c>
    </row>
    <row r="48" spans="2:17" ht="15.75" thickBot="1" x14ac:dyDescent="0.3">
      <c r="B48" s="155" t="str">
        <f>Master!AF50</f>
        <v>RUSSIA</v>
      </c>
      <c r="C48" s="147" t="str">
        <f>Master!AG50</f>
        <v>RS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f t="shared" si="0"/>
        <v>0</v>
      </c>
      <c r="Q48" s="155" t="str">
        <f>Master!AF50</f>
        <v>RUSSIA</v>
      </c>
    </row>
    <row r="49" spans="2:17" ht="15.75" thickBot="1" x14ac:dyDescent="0.3">
      <c r="B49" s="155" t="str">
        <f>Master!AF51</f>
        <v>SIERRA LEON</v>
      </c>
      <c r="C49" s="147" t="str">
        <f>Master!AG51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 t="shared" si="0"/>
        <v>0</v>
      </c>
      <c r="Q49" s="155" t="str">
        <f>Master!AF51</f>
        <v>SIERRA LEON</v>
      </c>
    </row>
    <row r="50" spans="2:17" ht="15.75" thickBot="1" x14ac:dyDescent="0.3">
      <c r="B50" s="155" t="str">
        <f>Master!AF52</f>
        <v>SOMALIA</v>
      </c>
      <c r="C50" s="147" t="str">
        <f>Master!AG52</f>
        <v>SO</v>
      </c>
      <c r="D50" s="258">
        <v>0</v>
      </c>
      <c r="E50" s="258">
        <v>0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58">
        <v>0</v>
      </c>
      <c r="N50" s="258">
        <v>0</v>
      </c>
      <c r="O50" s="258">
        <v>0</v>
      </c>
      <c r="P50" s="258">
        <f t="shared" si="0"/>
        <v>0</v>
      </c>
      <c r="Q50" s="155" t="str">
        <f>Master!AF52</f>
        <v>SOMALIA</v>
      </c>
    </row>
    <row r="51" spans="2:17" ht="15.75" thickBot="1" x14ac:dyDescent="0.3">
      <c r="B51" s="155" t="str">
        <f>Master!AF53</f>
        <v>SPAIN</v>
      </c>
      <c r="C51" s="147" t="str">
        <f>Master!AG53</f>
        <v>ES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1</v>
      </c>
      <c r="P51" s="258">
        <f t="shared" si="0"/>
        <v>1</v>
      </c>
      <c r="Q51" s="155" t="str">
        <f>Master!AF53</f>
        <v>SPAIN</v>
      </c>
    </row>
    <row r="52" spans="2:17" ht="15.75" thickBot="1" x14ac:dyDescent="0.3">
      <c r="B52" s="155" t="str">
        <f>Master!AF54</f>
        <v>SOUTH SUDAN</v>
      </c>
      <c r="C52" s="147" t="str">
        <f>Master!AG54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0</v>
      </c>
      <c r="Q52" s="155" t="str">
        <f>Master!AF54</f>
        <v>SOUTH SUDAN</v>
      </c>
    </row>
    <row r="53" spans="2:17" ht="15.75" thickBot="1" x14ac:dyDescent="0.3">
      <c r="B53" s="155" t="str">
        <f>Master!AF55</f>
        <v>SRI LANKA</v>
      </c>
      <c r="C53" s="147" t="str">
        <f>Master!AG55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155" t="str">
        <f>Master!AF55</f>
        <v>SRI LANKA</v>
      </c>
    </row>
    <row r="54" spans="2:17" ht="15.75" thickBot="1" x14ac:dyDescent="0.3">
      <c r="B54" s="155" t="str">
        <f>Master!AF56</f>
        <v>SUDAN</v>
      </c>
      <c r="C54" s="147" t="str">
        <f>Master!AG56</f>
        <v>SU</v>
      </c>
      <c r="D54" s="258">
        <v>0</v>
      </c>
      <c r="E54" s="258">
        <v>0</v>
      </c>
      <c r="F54" s="258">
        <v>0</v>
      </c>
      <c r="G54" s="258">
        <v>5</v>
      </c>
      <c r="H54" s="258">
        <v>0</v>
      </c>
      <c r="I54" s="258">
        <v>0</v>
      </c>
      <c r="J54" s="258">
        <v>0</v>
      </c>
      <c r="K54" s="258">
        <v>4</v>
      </c>
      <c r="L54" s="258">
        <v>0</v>
      </c>
      <c r="M54" s="258">
        <v>0</v>
      </c>
      <c r="N54" s="258">
        <v>0</v>
      </c>
      <c r="O54" s="258">
        <v>0</v>
      </c>
      <c r="P54" s="258">
        <f t="shared" si="0"/>
        <v>9</v>
      </c>
      <c r="Q54" s="155" t="str">
        <f>Master!AF56</f>
        <v>SUDAN</v>
      </c>
    </row>
    <row r="55" spans="2:17" ht="15.75" thickBot="1" x14ac:dyDescent="0.3">
      <c r="B55" s="155" t="str">
        <f>Master!AF57</f>
        <v>SYRIA</v>
      </c>
      <c r="C55" s="147" t="str">
        <f>Master!AG57</f>
        <v>SY</v>
      </c>
      <c r="D55" s="258">
        <v>0</v>
      </c>
      <c r="E55" s="258">
        <v>9</v>
      </c>
      <c r="F55" s="258">
        <v>4</v>
      </c>
      <c r="G55" s="258">
        <v>0</v>
      </c>
      <c r="H55" s="258">
        <v>0</v>
      </c>
      <c r="I55" s="258">
        <v>0</v>
      </c>
      <c r="J55" s="258">
        <v>0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f t="shared" si="0"/>
        <v>13</v>
      </c>
      <c r="Q55" s="155" t="str">
        <f>Master!AF57</f>
        <v>SYRIA</v>
      </c>
    </row>
    <row r="56" spans="2:17" ht="15.75" thickBot="1" x14ac:dyDescent="0.3">
      <c r="B56" s="155" t="str">
        <f>Master!AF58</f>
        <v>TAJIKISTAN</v>
      </c>
      <c r="C56" s="147" t="str">
        <f>Master!AG58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155" t="str">
        <f>Master!AF58</f>
        <v>TAJIKISTAN</v>
      </c>
    </row>
    <row r="57" spans="2:17" ht="15.75" thickBot="1" x14ac:dyDescent="0.3">
      <c r="B57" s="155" t="str">
        <f>Master!AF59</f>
        <v>TANZANIA</v>
      </c>
      <c r="C57" s="147" t="str">
        <f>Master!AG59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155" t="str">
        <f>Master!AF59</f>
        <v>TANZANIA</v>
      </c>
    </row>
    <row r="58" spans="2:17" ht="15.75" thickBot="1" x14ac:dyDescent="0.3">
      <c r="B58" s="155" t="str">
        <f>Master!AF60</f>
        <v>THAILAND</v>
      </c>
      <c r="C58" s="147" t="str">
        <f>Master!AG60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155" t="str">
        <f>Master!AF60</f>
        <v>THAILAND</v>
      </c>
    </row>
    <row r="59" spans="2:17" ht="15.75" thickBot="1" x14ac:dyDescent="0.3">
      <c r="B59" s="155" t="str">
        <f>Master!AF61</f>
        <v>UGANDA</v>
      </c>
      <c r="C59" s="147" t="str">
        <f>Master!AG61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0</v>
      </c>
      <c r="Q59" s="155" t="str">
        <f>Master!AF61</f>
        <v>UGANDA</v>
      </c>
    </row>
    <row r="60" spans="2:17" ht="15.75" thickBot="1" x14ac:dyDescent="0.3">
      <c r="B60" s="155" t="str">
        <f>Master!AF62</f>
        <v>UKRAINE</v>
      </c>
      <c r="C60" s="147" t="str">
        <f>Master!AG62</f>
        <v>UP</v>
      </c>
      <c r="D60" s="258">
        <v>0</v>
      </c>
      <c r="E60" s="258">
        <v>0</v>
      </c>
      <c r="F60" s="258">
        <v>0</v>
      </c>
      <c r="G60" s="258">
        <v>0</v>
      </c>
      <c r="H60" s="258">
        <v>0</v>
      </c>
      <c r="I60" s="258">
        <v>0</v>
      </c>
      <c r="J60" s="258">
        <v>0</v>
      </c>
      <c r="K60" s="258">
        <v>0</v>
      </c>
      <c r="L60" s="258">
        <v>0</v>
      </c>
      <c r="M60" s="258">
        <v>0</v>
      </c>
      <c r="N60" s="258">
        <v>0</v>
      </c>
      <c r="O60" s="258">
        <v>0</v>
      </c>
      <c r="P60" s="258">
        <f t="shared" si="0"/>
        <v>0</v>
      </c>
      <c r="Q60" s="155" t="str">
        <f>Master!AF62</f>
        <v>UKRAINE</v>
      </c>
    </row>
    <row r="61" spans="2:17" ht="15.75" thickBot="1" x14ac:dyDescent="0.3">
      <c r="B61" s="155" t="str">
        <f>Master!AF63</f>
        <v>UZBEKISTAN</v>
      </c>
      <c r="C61" s="147" t="str">
        <f>Master!AG63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 t="shared" si="0"/>
        <v>0</v>
      </c>
      <c r="Q61" s="155" t="str">
        <f>Master!AF63</f>
        <v>UZBEKISTAN</v>
      </c>
    </row>
    <row r="62" spans="2:17" ht="15.75" thickBot="1" x14ac:dyDescent="0.3">
      <c r="B62" s="155" t="str">
        <f>Master!AF64</f>
        <v>VIETNAM</v>
      </c>
      <c r="C62" s="147" t="str">
        <f>Master!AG64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0</v>
      </c>
      <c r="P62" s="258">
        <f t="shared" si="0"/>
        <v>0</v>
      </c>
      <c r="Q62" s="155" t="str">
        <f>Master!AF64</f>
        <v>VIETNAM</v>
      </c>
    </row>
    <row r="63" spans="2:17" ht="15.75" thickBot="1" x14ac:dyDescent="0.3">
      <c r="B63" s="155" t="str">
        <f>Master!AF65</f>
        <v>ZAMBIA</v>
      </c>
      <c r="C63" s="147" t="str">
        <f>Master!AG65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 t="shared" si="0"/>
        <v>0</v>
      </c>
      <c r="Q63" s="155" t="str">
        <f>Master!AF65</f>
        <v>ZAMBIA</v>
      </c>
    </row>
    <row r="64" spans="2:17" ht="15.75" thickBot="1" x14ac:dyDescent="0.3">
      <c r="B64" s="354" t="s">
        <v>53</v>
      </c>
      <c r="C64" s="355"/>
      <c r="D64" s="249">
        <f>SUM(D5:D63)</f>
        <v>16</v>
      </c>
      <c r="E64" s="249">
        <f>SUM(E5:E63)</f>
        <v>16</v>
      </c>
      <c r="F64" s="249">
        <f>SUM(F5:F63)</f>
        <v>13</v>
      </c>
      <c r="G64" s="249">
        <f>SUM(G5:G63)</f>
        <v>22</v>
      </c>
      <c r="H64" s="249">
        <f>SUM(H5:H63)</f>
        <v>1</v>
      </c>
      <c r="I64" s="249">
        <f>SUM(I5:I63)</f>
        <v>6</v>
      </c>
      <c r="J64" s="249">
        <f>SUM(J5:J63)</f>
        <v>3</v>
      </c>
      <c r="K64" s="249">
        <v>29</v>
      </c>
      <c r="L64" s="249">
        <v>0</v>
      </c>
      <c r="M64" s="249">
        <v>0</v>
      </c>
      <c r="N64" s="249">
        <v>8</v>
      </c>
      <c r="O64" s="249">
        <v>11</v>
      </c>
      <c r="P64" s="249">
        <f>SUM(D64:O64)</f>
        <v>125</v>
      </c>
      <c r="Q64" s="240" t="s">
        <v>53</v>
      </c>
    </row>
    <row r="65" spans="2:17" x14ac:dyDescent="0.25"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</row>
  </sheetData>
  <mergeCells count="5">
    <mergeCell ref="B2:I2"/>
    <mergeCell ref="J2:Q2"/>
    <mergeCell ref="B3:C4"/>
    <mergeCell ref="P3:P4"/>
    <mergeCell ref="Q3:Q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78"/>
  <sheetViews>
    <sheetView workbookViewId="0">
      <selection activeCell="W68" sqref="W68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1:18" ht="10.5" customHeight="1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thickBot="1" x14ac:dyDescent="0.3">
      <c r="A2" s="55"/>
      <c r="B2" s="366" t="s">
        <v>54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  <c r="R2" s="55"/>
    </row>
    <row r="3" spans="1:18" ht="13.5" customHeight="1" thickBot="1" x14ac:dyDescent="0.3">
      <c r="A3" s="55"/>
      <c r="B3" s="369"/>
      <c r="C3" s="370"/>
      <c r="D3" s="149" t="s">
        <v>19</v>
      </c>
      <c r="E3" s="149" t="s">
        <v>20</v>
      </c>
      <c r="F3" s="149" t="s">
        <v>21</v>
      </c>
      <c r="G3" s="149" t="s">
        <v>22</v>
      </c>
      <c r="H3" s="149" t="s">
        <v>23</v>
      </c>
      <c r="I3" s="149" t="s">
        <v>24</v>
      </c>
      <c r="J3" s="149" t="s">
        <v>25</v>
      </c>
      <c r="K3" s="149" t="s">
        <v>26</v>
      </c>
      <c r="L3" s="149" t="s">
        <v>27</v>
      </c>
      <c r="M3" s="149" t="s">
        <v>28</v>
      </c>
      <c r="N3" s="149" t="s">
        <v>29</v>
      </c>
      <c r="O3" s="149" t="s">
        <v>30</v>
      </c>
      <c r="P3" s="392" t="s">
        <v>40</v>
      </c>
      <c r="Q3" s="375"/>
      <c r="R3" s="55"/>
    </row>
    <row r="4" spans="1:18" ht="13.5" customHeight="1" thickBot="1" x14ac:dyDescent="0.3">
      <c r="A4" s="55"/>
      <c r="B4" s="371"/>
      <c r="C4" s="372"/>
      <c r="D4" s="67">
        <v>10</v>
      </c>
      <c r="E4" s="67">
        <v>11</v>
      </c>
      <c r="F4" s="67">
        <v>12</v>
      </c>
      <c r="G4" s="67">
        <v>1</v>
      </c>
      <c r="H4" s="67">
        <v>2</v>
      </c>
      <c r="I4" s="67">
        <v>3</v>
      </c>
      <c r="J4" s="67">
        <v>4</v>
      </c>
      <c r="K4" s="67">
        <v>5</v>
      </c>
      <c r="L4" s="67">
        <v>6</v>
      </c>
      <c r="M4" s="67">
        <v>7</v>
      </c>
      <c r="N4" s="67">
        <v>8</v>
      </c>
      <c r="O4" s="67">
        <v>9</v>
      </c>
      <c r="P4" s="393"/>
      <c r="Q4" s="376"/>
      <c r="R4" s="55"/>
    </row>
    <row r="5" spans="1:18" ht="15.75" thickBot="1" x14ac:dyDescent="0.3">
      <c r="A5" s="55"/>
      <c r="B5" s="150" t="str">
        <f>Master!AF7</f>
        <v>AFGHANISTAN</v>
      </c>
      <c r="C5" s="149" t="str">
        <f>Master!AG7</f>
        <v>AF</v>
      </c>
      <c r="D5" s="66">
        <v>7</v>
      </c>
      <c r="E5" s="258">
        <v>0</v>
      </c>
      <c r="F5" s="258">
        <v>0</v>
      </c>
      <c r="G5" s="258">
        <v>0</v>
      </c>
      <c r="H5" s="258">
        <v>0</v>
      </c>
      <c r="I5" s="258">
        <v>0</v>
      </c>
      <c r="J5" s="258">
        <v>0</v>
      </c>
      <c r="K5" s="258">
        <v>1</v>
      </c>
      <c r="L5" s="258">
        <v>0</v>
      </c>
      <c r="M5" s="258">
        <v>0</v>
      </c>
      <c r="N5" s="258">
        <v>0</v>
      </c>
      <c r="O5" s="258">
        <v>0</v>
      </c>
      <c r="P5" s="258">
        <f>SUM(D5:O5)</f>
        <v>8</v>
      </c>
      <c r="Q5" s="150" t="str">
        <f>Master!AF7</f>
        <v>AFGHANISTAN</v>
      </c>
      <c r="R5" s="55"/>
    </row>
    <row r="6" spans="1:18" ht="15.75" thickBot="1" x14ac:dyDescent="0.3">
      <c r="A6" s="55"/>
      <c r="B6" s="150" t="str">
        <f>Master!AF8</f>
        <v>ARMENIA</v>
      </c>
      <c r="C6" s="149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0" t="str">
        <f>Master!AF8</f>
        <v>ARMENIA</v>
      </c>
      <c r="R6" s="55"/>
    </row>
    <row r="7" spans="1:18" ht="15.75" thickBot="1" x14ac:dyDescent="0.3">
      <c r="A7" s="55"/>
      <c r="B7" s="150" t="s">
        <v>780</v>
      </c>
      <c r="C7" s="149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150" t="s">
        <v>780</v>
      </c>
    </row>
    <row r="8" spans="1:18" ht="15.75" thickBot="1" x14ac:dyDescent="0.3">
      <c r="A8" s="55"/>
      <c r="B8" s="150" t="str">
        <f>Master!AF10</f>
        <v>BELARUS</v>
      </c>
      <c r="C8" s="149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0</v>
      </c>
      <c r="Q8" s="150" t="str">
        <f>Master!AF10</f>
        <v>BELARUS</v>
      </c>
      <c r="R8" s="55"/>
    </row>
    <row r="9" spans="1:18" ht="15.75" thickBot="1" x14ac:dyDescent="0.3">
      <c r="A9" s="55"/>
      <c r="B9" s="150" t="str">
        <f>Master!AF11</f>
        <v>BURMA</v>
      </c>
      <c r="C9" s="149" t="str">
        <f>Master!AG11</f>
        <v>BM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1</v>
      </c>
      <c r="L9" s="258">
        <v>0</v>
      </c>
      <c r="M9" s="258">
        <v>0</v>
      </c>
      <c r="N9" s="258">
        <v>0</v>
      </c>
      <c r="O9" s="258">
        <v>12</v>
      </c>
      <c r="P9" s="258">
        <f t="shared" si="0"/>
        <v>13</v>
      </c>
      <c r="Q9" s="150" t="str">
        <f>Master!AF11</f>
        <v>BURMA</v>
      </c>
      <c r="R9" s="55"/>
    </row>
    <row r="10" spans="1:18" ht="15.75" thickBot="1" x14ac:dyDescent="0.3">
      <c r="A10" s="55"/>
      <c r="B10" s="150" t="str">
        <f>Master!AF12</f>
        <v>BHUTAN</v>
      </c>
      <c r="C10" s="149" t="str">
        <f>Master!AG12</f>
        <v>BT</v>
      </c>
      <c r="D10" s="258">
        <v>4</v>
      </c>
      <c r="E10" s="258">
        <v>4</v>
      </c>
      <c r="F10" s="258">
        <v>14</v>
      </c>
      <c r="G10" s="258">
        <v>2</v>
      </c>
      <c r="H10" s="258">
        <v>4</v>
      </c>
      <c r="I10" s="258">
        <v>0</v>
      </c>
      <c r="J10" s="258">
        <v>0</v>
      </c>
      <c r="K10" s="258">
        <v>8</v>
      </c>
      <c r="L10" s="258">
        <v>13</v>
      </c>
      <c r="M10" s="258">
        <v>0</v>
      </c>
      <c r="N10" s="258">
        <v>0</v>
      </c>
      <c r="O10" s="258">
        <v>0</v>
      </c>
      <c r="P10" s="258">
        <f t="shared" si="0"/>
        <v>49</v>
      </c>
      <c r="Q10" s="150" t="str">
        <f>Master!AF12</f>
        <v>BHUTAN</v>
      </c>
      <c r="R10" s="55"/>
    </row>
    <row r="11" spans="1:18" ht="15.75" thickBot="1" x14ac:dyDescent="0.3">
      <c r="A11" s="55"/>
      <c r="B11" s="150" t="s">
        <v>779</v>
      </c>
      <c r="C11" s="149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0" t="s">
        <v>779</v>
      </c>
    </row>
    <row r="12" spans="1:18" ht="15.75" thickBot="1" x14ac:dyDescent="0.3">
      <c r="A12" s="55"/>
      <c r="B12" s="150" t="str">
        <f>Master!AF14</f>
        <v>BURUNDI</v>
      </c>
      <c r="C12" s="149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0" t="str">
        <f>Master!AF14</f>
        <v>BURUNDI</v>
      </c>
      <c r="R12" s="55"/>
    </row>
    <row r="13" spans="1:18" ht="15.75" thickBot="1" x14ac:dyDescent="0.3">
      <c r="A13" s="55"/>
      <c r="B13" s="150" t="str">
        <f>Master!AF15</f>
        <v>CAMEROUN</v>
      </c>
      <c r="C13" s="149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150" t="str">
        <f>Master!AF15</f>
        <v>CAMEROUN</v>
      </c>
      <c r="R13" s="55"/>
    </row>
    <row r="14" spans="1:18" ht="15.75" thickBot="1" x14ac:dyDescent="0.3">
      <c r="A14" s="55"/>
      <c r="B14" s="150" t="str">
        <f>Master!AF16</f>
        <v>CENTRAL AFR REP</v>
      </c>
      <c r="C14" s="149" t="str">
        <f>Master!AG16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1</v>
      </c>
      <c r="M14" s="258">
        <v>0</v>
      </c>
      <c r="N14" s="258">
        <v>0</v>
      </c>
      <c r="O14" s="258">
        <v>6</v>
      </c>
      <c r="P14" s="258">
        <f t="shared" si="0"/>
        <v>7</v>
      </c>
      <c r="Q14" s="150" t="str">
        <f>Master!AF16</f>
        <v>CENTRAL AFR REP</v>
      </c>
      <c r="R14" s="55"/>
    </row>
    <row r="15" spans="1:18" ht="15.75" thickBot="1" x14ac:dyDescent="0.3">
      <c r="A15" s="55"/>
      <c r="B15" s="150" t="str">
        <f>Master!AF17</f>
        <v>CHINA</v>
      </c>
      <c r="C15" s="149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50" t="str">
        <f>Master!AF17</f>
        <v>CHINA</v>
      </c>
      <c r="R15" s="55"/>
    </row>
    <row r="16" spans="1:18" ht="15.75" thickBot="1" x14ac:dyDescent="0.3">
      <c r="A16" s="55"/>
      <c r="B16" s="150" t="str">
        <f>Master!AF18</f>
        <v>DEM REP OF CONGO</v>
      </c>
      <c r="C16" s="149" t="str">
        <f>Master!AG18</f>
        <v>CG</v>
      </c>
      <c r="D16" s="258">
        <v>12</v>
      </c>
      <c r="E16" s="258">
        <v>43</v>
      </c>
      <c r="F16" s="258">
        <v>12</v>
      </c>
      <c r="G16" s="258">
        <v>0</v>
      </c>
      <c r="H16" s="258">
        <v>5</v>
      </c>
      <c r="I16" s="258">
        <v>0</v>
      </c>
      <c r="J16" s="258">
        <v>8</v>
      </c>
      <c r="K16" s="258">
        <v>0</v>
      </c>
      <c r="L16" s="258">
        <v>10</v>
      </c>
      <c r="M16" s="258">
        <v>0</v>
      </c>
      <c r="N16" s="258">
        <v>0</v>
      </c>
      <c r="O16" s="258">
        <v>0</v>
      </c>
      <c r="P16" s="258">
        <f t="shared" si="0"/>
        <v>90</v>
      </c>
      <c r="Q16" s="150" t="str">
        <f>Master!AF18</f>
        <v>DEM REP OF CONGO</v>
      </c>
      <c r="R16" s="55"/>
    </row>
    <row r="17" spans="1:18" ht="15.75" thickBot="1" x14ac:dyDescent="0.3">
      <c r="A17" s="55"/>
      <c r="B17" s="150" t="str">
        <f>Master!AF19</f>
        <v>COLUMBIA</v>
      </c>
      <c r="C17" s="149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0</v>
      </c>
      <c r="Q17" s="150" t="str">
        <f>Master!AF19</f>
        <v>COLUMBIA</v>
      </c>
      <c r="R17" s="55"/>
    </row>
    <row r="18" spans="1:18" ht="15.75" thickBot="1" x14ac:dyDescent="0.3">
      <c r="A18" s="55"/>
      <c r="B18" s="150" t="str">
        <f>Master!AF20</f>
        <v>CONGO</v>
      </c>
      <c r="C18" s="149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50" t="str">
        <f>Master!AF20</f>
        <v>CONGO</v>
      </c>
      <c r="R18" s="55"/>
    </row>
    <row r="19" spans="1:18" ht="15.75" thickBot="1" x14ac:dyDescent="0.3">
      <c r="A19" s="55"/>
      <c r="B19" s="150" t="str">
        <f>Master!AF21</f>
        <v>CUBA</v>
      </c>
      <c r="C19" s="149" t="str">
        <f>Master!AG21</f>
        <v>CU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f t="shared" si="0"/>
        <v>0</v>
      </c>
      <c r="Q19" s="150" t="str">
        <f>Master!AF21</f>
        <v>CUBA</v>
      </c>
      <c r="R19" s="55"/>
    </row>
    <row r="20" spans="1:18" ht="15.75" thickBot="1" x14ac:dyDescent="0.3">
      <c r="A20" s="55"/>
      <c r="B20" s="150" t="str">
        <f>Master!AF22</f>
        <v>CUBAN ENTRANT</v>
      </c>
      <c r="C20" s="149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50" t="str">
        <f>Master!AF22</f>
        <v>CUBAN ENTRANT</v>
      </c>
      <c r="R20" s="55"/>
    </row>
    <row r="21" spans="1:18" ht="15.75" thickBot="1" x14ac:dyDescent="0.3">
      <c r="A21" s="55"/>
      <c r="B21" s="150" t="str">
        <f>Master!AF23</f>
        <v>ECUADOR</v>
      </c>
      <c r="C21" s="149" t="str">
        <f>Master!AG23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150" t="str">
        <f>Master!AF23</f>
        <v>ECUADOR</v>
      </c>
      <c r="R21" s="55"/>
    </row>
    <row r="22" spans="1:18" ht="15.75" thickBot="1" x14ac:dyDescent="0.3">
      <c r="A22" s="55"/>
      <c r="B22" s="150" t="str">
        <f>Master!AF24</f>
        <v>EGYPT</v>
      </c>
      <c r="C22" s="149" t="str">
        <f>Master!AG24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150" t="str">
        <f>Master!AF24</f>
        <v>EGYPT</v>
      </c>
      <c r="R22" s="55"/>
    </row>
    <row r="23" spans="1:18" ht="15.75" thickBot="1" x14ac:dyDescent="0.3">
      <c r="A23" s="55"/>
      <c r="B23" s="150" t="str">
        <f>Master!AF25</f>
        <v>ERITREA</v>
      </c>
      <c r="C23" s="149" t="str">
        <f>Master!AG25</f>
        <v>ER</v>
      </c>
      <c r="D23" s="258">
        <v>7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7</v>
      </c>
      <c r="M23" s="258">
        <v>0</v>
      </c>
      <c r="N23" s="258">
        <v>0</v>
      </c>
      <c r="O23" s="258">
        <v>0</v>
      </c>
      <c r="P23" s="258">
        <f t="shared" si="0"/>
        <v>14</v>
      </c>
      <c r="Q23" s="150" t="str">
        <f>Master!AF25</f>
        <v>ERITREA</v>
      </c>
      <c r="R23" s="55"/>
    </row>
    <row r="24" spans="1:18" ht="15.75" thickBot="1" x14ac:dyDescent="0.3">
      <c r="A24" s="55"/>
      <c r="B24" s="150" t="str">
        <f>Master!AF26</f>
        <v>ETHIOPIA</v>
      </c>
      <c r="C24" s="149" t="str">
        <f>Master!AG26</f>
        <v>ET</v>
      </c>
      <c r="D24" s="258">
        <v>2</v>
      </c>
      <c r="E24" s="258">
        <v>5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1</v>
      </c>
      <c r="M24" s="258">
        <v>0</v>
      </c>
      <c r="N24" s="258">
        <v>0</v>
      </c>
      <c r="O24" s="258">
        <v>0</v>
      </c>
      <c r="P24" s="258">
        <f t="shared" si="0"/>
        <v>8</v>
      </c>
      <c r="Q24" s="150" t="str">
        <f>Master!AF26</f>
        <v>ETHIOPIA</v>
      </c>
      <c r="R24" s="55"/>
    </row>
    <row r="25" spans="1:18" ht="15.75" thickBot="1" x14ac:dyDescent="0.3">
      <c r="A25" s="55"/>
      <c r="B25" s="150" t="str">
        <f>Master!AF27</f>
        <v>FRANCE</v>
      </c>
      <c r="C25" s="149" t="str">
        <f>Master!AG27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150" t="str">
        <f>Master!AF27</f>
        <v>FRANCE</v>
      </c>
      <c r="R25" s="55"/>
    </row>
    <row r="26" spans="1:18" ht="15.75" thickBot="1" x14ac:dyDescent="0.3">
      <c r="A26" s="55"/>
      <c r="B26" s="150" t="str">
        <f>Master!AF28</f>
        <v>GUINEA</v>
      </c>
      <c r="C26" s="149" t="str">
        <f>Master!AG28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0</v>
      </c>
      <c r="Q26" s="150" t="str">
        <f>Master!AF28</f>
        <v>GUINEA</v>
      </c>
      <c r="R26" s="55"/>
    </row>
    <row r="27" spans="1:18" ht="15.75" thickBot="1" x14ac:dyDescent="0.3">
      <c r="A27" s="55"/>
      <c r="B27" s="150" t="str">
        <f>Master!AF29</f>
        <v>HAITI</v>
      </c>
      <c r="C27" s="149" t="str">
        <f>Master!AG29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f t="shared" si="0"/>
        <v>0</v>
      </c>
      <c r="Q27" s="150" t="str">
        <f>Master!AF29</f>
        <v>HAITI</v>
      </c>
      <c r="R27" s="55"/>
    </row>
    <row r="28" spans="1:18" ht="15.75" thickBot="1" x14ac:dyDescent="0.3">
      <c r="A28" s="55"/>
      <c r="B28" s="150" t="str">
        <f>Master!AF30</f>
        <v>INDIA</v>
      </c>
      <c r="C28" s="149" t="str">
        <f>Master!AG30</f>
        <v>IN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f t="shared" si="0"/>
        <v>0</v>
      </c>
      <c r="Q28" s="150" t="str">
        <f>Master!AF30</f>
        <v>INDIA</v>
      </c>
      <c r="R28" s="55"/>
    </row>
    <row r="29" spans="1:18" ht="15.75" thickBot="1" x14ac:dyDescent="0.3">
      <c r="A29" s="55"/>
      <c r="B29" s="150" t="str">
        <f>Master!AF31</f>
        <v>INDONESIA</v>
      </c>
      <c r="C29" s="149" t="str">
        <f>Master!AG31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0</v>
      </c>
      <c r="Q29" s="150" t="str">
        <f>Master!AF31</f>
        <v>INDONESIA</v>
      </c>
      <c r="R29" s="55"/>
    </row>
    <row r="30" spans="1:18" ht="15.75" thickBot="1" x14ac:dyDescent="0.3">
      <c r="A30" s="55"/>
      <c r="B30" s="150" t="str">
        <f>Master!AF32</f>
        <v>IRAN</v>
      </c>
      <c r="C30" s="149" t="str">
        <f>Master!AG32</f>
        <v>IR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 t="shared" si="0"/>
        <v>0</v>
      </c>
      <c r="Q30" s="150" t="str">
        <f>Master!AF32</f>
        <v>IRAN</v>
      </c>
      <c r="R30" s="55"/>
    </row>
    <row r="31" spans="1:18" ht="15.75" thickBot="1" x14ac:dyDescent="0.3">
      <c r="A31" s="55"/>
      <c r="B31" s="150" t="str">
        <f>Master!AF33</f>
        <v>IRAQ</v>
      </c>
      <c r="C31" s="149" t="str">
        <f>Master!AG33</f>
        <v>IZ</v>
      </c>
      <c r="D31" s="258">
        <v>0</v>
      </c>
      <c r="E31" s="258">
        <v>0</v>
      </c>
      <c r="F31" s="258">
        <v>0</v>
      </c>
      <c r="G31" s="258">
        <v>2</v>
      </c>
      <c r="H31" s="258">
        <v>0</v>
      </c>
      <c r="I31" s="258">
        <v>6</v>
      </c>
      <c r="J31" s="258">
        <v>2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f t="shared" si="0"/>
        <v>10</v>
      </c>
      <c r="Q31" s="150" t="str">
        <f>Master!AF33</f>
        <v>IRAQ</v>
      </c>
      <c r="R31" s="55"/>
    </row>
    <row r="32" spans="1:18" ht="15.75" thickBot="1" x14ac:dyDescent="0.3">
      <c r="A32" s="55"/>
      <c r="B32" s="150" t="str">
        <f>Master!AF34</f>
        <v>IVORY COAST</v>
      </c>
      <c r="C32" s="149" t="str">
        <f>Master!AG34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1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 t="shared" si="0"/>
        <v>1</v>
      </c>
      <c r="Q32" s="150" t="str">
        <f>Master!AF34</f>
        <v>IVORY COAST</v>
      </c>
      <c r="R32" s="55"/>
    </row>
    <row r="33" spans="1:18" ht="15.75" thickBot="1" x14ac:dyDescent="0.3">
      <c r="A33" s="55"/>
      <c r="B33" s="150" t="str">
        <f>Master!AF35</f>
        <v>JORDAN</v>
      </c>
      <c r="C33" s="149" t="str">
        <f>Master!AG35</f>
        <v>JO</v>
      </c>
      <c r="D33" s="258">
        <v>0</v>
      </c>
      <c r="E33" s="258">
        <v>0</v>
      </c>
      <c r="F33" s="258">
        <v>0</v>
      </c>
      <c r="G33" s="258">
        <v>1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1</v>
      </c>
      <c r="Q33" s="150" t="str">
        <f>Master!AF35</f>
        <v>JORDAN</v>
      </c>
      <c r="R33" s="55"/>
    </row>
    <row r="34" spans="1:18" ht="15.75" thickBot="1" x14ac:dyDescent="0.3">
      <c r="A34" s="55"/>
      <c r="B34" s="150" t="str">
        <f>Master!AF36</f>
        <v>KAZAKHSTAN</v>
      </c>
      <c r="C34" s="149" t="str">
        <f>Master!AG36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150" t="str">
        <f>Master!AF36</f>
        <v>KAZAKHSTAN</v>
      </c>
      <c r="R34" s="55"/>
    </row>
    <row r="35" spans="1:18" ht="15.75" thickBot="1" x14ac:dyDescent="0.3">
      <c r="A35" s="55"/>
      <c r="B35" s="150" t="str">
        <f>Master!AF37</f>
        <v>KENYA</v>
      </c>
      <c r="C35" s="149" t="str">
        <f>Master!AG37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150" t="str">
        <f>Master!AF37</f>
        <v>KENYA</v>
      </c>
      <c r="R35" s="55"/>
    </row>
    <row r="36" spans="1:18" ht="15.75" thickBot="1" x14ac:dyDescent="0.3">
      <c r="A36" s="55"/>
      <c r="B36" s="150" t="str">
        <f>Master!AF38</f>
        <v>LEBANON</v>
      </c>
      <c r="C36" s="149" t="str">
        <f>Master!AG38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150" t="str">
        <f>Master!AF38</f>
        <v>LEBANON</v>
      </c>
      <c r="R36" s="55"/>
    </row>
    <row r="37" spans="1:18" ht="15.75" thickBot="1" x14ac:dyDescent="0.3">
      <c r="A37" s="55"/>
      <c r="B37" s="150" t="str">
        <f>Master!AF39</f>
        <v>LIBERIA</v>
      </c>
      <c r="C37" s="149" t="str">
        <f>Master!AG39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150" t="str">
        <f>Master!AF39</f>
        <v>LIBERIA</v>
      </c>
      <c r="R37" s="55"/>
    </row>
    <row r="38" spans="1:18" ht="15.75" thickBot="1" x14ac:dyDescent="0.3">
      <c r="A38" s="55"/>
      <c r="B38" s="150" t="str">
        <f>Master!AF40</f>
        <v>LIBYA</v>
      </c>
      <c r="C38" s="149" t="str">
        <f>Master!AG40</f>
        <v>LY</v>
      </c>
      <c r="D38" s="258">
        <v>0</v>
      </c>
      <c r="E38" s="258">
        <v>0</v>
      </c>
      <c r="F38" s="258">
        <v>3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3</v>
      </c>
      <c r="Q38" s="150" t="str">
        <f>Master!AF40</f>
        <v>LIBYA</v>
      </c>
      <c r="R38" s="55"/>
    </row>
    <row r="39" spans="1:18" ht="15.75" thickBot="1" x14ac:dyDescent="0.3">
      <c r="A39" s="55"/>
      <c r="B39" s="150" t="str">
        <f>Master!AF41</f>
        <v>MOLDOVA</v>
      </c>
      <c r="C39" s="149" t="str">
        <f>Master!AG41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1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1</v>
      </c>
      <c r="Q39" s="150" t="str">
        <f>Master!AF41</f>
        <v>MOLDOVA</v>
      </c>
      <c r="R39" s="55"/>
    </row>
    <row r="40" spans="1:18" ht="15.75" thickBot="1" x14ac:dyDescent="0.3">
      <c r="A40" s="55"/>
      <c r="B40" s="150" t="str">
        <f>Master!AF42</f>
        <v>MALI</v>
      </c>
      <c r="C40" s="149" t="str">
        <f>Master!AG42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150" t="str">
        <f>Master!AF42</f>
        <v>MALI</v>
      </c>
      <c r="R40" s="55"/>
    </row>
    <row r="41" spans="1:18" ht="15.75" thickBot="1" x14ac:dyDescent="0.3">
      <c r="A41" s="55"/>
      <c r="B41" s="150" t="str">
        <f>Master!AF43</f>
        <v>MALAYSIA</v>
      </c>
      <c r="C41" s="149" t="str">
        <f>Master!AG43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 t="shared" si="0"/>
        <v>0</v>
      </c>
      <c r="Q41" s="150" t="str">
        <f>Master!AF43</f>
        <v>MALAYSIA</v>
      </c>
      <c r="R41" s="55"/>
    </row>
    <row r="42" spans="1:18" ht="15.75" thickBot="1" x14ac:dyDescent="0.3">
      <c r="A42" s="55"/>
      <c r="B42" s="150" t="str">
        <f>Master!AF44</f>
        <v>NAMIBIA</v>
      </c>
      <c r="C42" s="149" t="str">
        <f>Master!AG44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150" t="str">
        <f>Master!AF44</f>
        <v>NAMIBIA</v>
      </c>
      <c r="R42" s="55"/>
    </row>
    <row r="43" spans="1:18" ht="15.75" thickBot="1" x14ac:dyDescent="0.3">
      <c r="A43" s="55"/>
      <c r="B43" s="150" t="str">
        <f>Master!AF45</f>
        <v>NEPAL</v>
      </c>
      <c r="C43" s="149" t="str">
        <f>Master!AG45</f>
        <v>NP</v>
      </c>
      <c r="D43" s="258">
        <v>0</v>
      </c>
      <c r="E43" s="258">
        <v>2</v>
      </c>
      <c r="F43" s="258">
        <v>0</v>
      </c>
      <c r="G43" s="258">
        <v>1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8">
        <v>0</v>
      </c>
      <c r="N43" s="258">
        <v>0</v>
      </c>
      <c r="O43" s="258">
        <v>0</v>
      </c>
      <c r="P43" s="258">
        <f t="shared" si="0"/>
        <v>3</v>
      </c>
      <c r="Q43" s="150" t="str">
        <f>Master!AF45</f>
        <v>NEPAL</v>
      </c>
      <c r="R43" s="55"/>
    </row>
    <row r="44" spans="1:18" ht="15.75" thickBot="1" x14ac:dyDescent="0.3">
      <c r="A44" s="55"/>
      <c r="B44" s="150" t="str">
        <f>Master!AF46</f>
        <v>NIGERIA</v>
      </c>
      <c r="C44" s="149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0" t="str">
        <f>Master!AF46</f>
        <v>NIGERIA</v>
      </c>
      <c r="R44" s="55"/>
    </row>
    <row r="45" spans="1:18" ht="15.75" thickBot="1" x14ac:dyDescent="0.3">
      <c r="A45" s="55"/>
      <c r="B45" s="150" t="str">
        <f>Master!AF47</f>
        <v>PAKISTAN</v>
      </c>
      <c r="C45" s="149" t="str">
        <f>Master!AG47</f>
        <v>PK</v>
      </c>
      <c r="D45" s="258">
        <v>0</v>
      </c>
      <c r="E45" s="258">
        <v>0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 t="shared" si="0"/>
        <v>0</v>
      </c>
      <c r="Q45" s="150" t="str">
        <f>Master!AF47</f>
        <v>PAKISTAN</v>
      </c>
      <c r="R45" s="55"/>
    </row>
    <row r="46" spans="1:18" ht="15.75" thickBot="1" x14ac:dyDescent="0.3">
      <c r="A46" s="55"/>
      <c r="B46" s="150" t="str">
        <f>Master!AF48</f>
        <v>PITCAIRN ISLANDS</v>
      </c>
      <c r="C46" s="149" t="str">
        <f>Master!AG48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 t="shared" si="0"/>
        <v>0</v>
      </c>
      <c r="Q46" s="150" t="str">
        <f>Master!AF48</f>
        <v>PITCAIRN ISLANDS</v>
      </c>
      <c r="R46" s="55"/>
    </row>
    <row r="47" spans="1:18" ht="15.75" thickBot="1" x14ac:dyDescent="0.3">
      <c r="A47" s="55"/>
      <c r="B47" s="150" t="str">
        <f>Master!AF49</f>
        <v>RWANDA</v>
      </c>
      <c r="C47" s="149" t="str">
        <f>Master!AG49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f t="shared" si="0"/>
        <v>0</v>
      </c>
      <c r="Q47" s="150" t="str">
        <f>Master!AF49</f>
        <v>RWANDA</v>
      </c>
      <c r="R47" s="55"/>
    </row>
    <row r="48" spans="1:18" ht="15.75" thickBot="1" x14ac:dyDescent="0.3">
      <c r="A48" s="55"/>
      <c r="B48" s="150" t="str">
        <f>Master!AF50</f>
        <v>RUSSIA</v>
      </c>
      <c r="C48" s="149" t="str">
        <f>Master!AG50</f>
        <v>RS</v>
      </c>
      <c r="D48" s="258">
        <v>0</v>
      </c>
      <c r="E48" s="258">
        <v>1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f t="shared" si="0"/>
        <v>1</v>
      </c>
      <c r="Q48" s="150" t="str">
        <f>Master!AF50</f>
        <v>RUSSIA</v>
      </c>
      <c r="R48" s="55"/>
    </row>
    <row r="49" spans="1:18" ht="15.75" thickBot="1" x14ac:dyDescent="0.3">
      <c r="A49" s="55"/>
      <c r="B49" s="150" t="str">
        <f>Master!AF51</f>
        <v>SIERRA LEON</v>
      </c>
      <c r="C49" s="149" t="str">
        <f>Master!AG51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 t="shared" si="0"/>
        <v>0</v>
      </c>
      <c r="Q49" s="150" t="str">
        <f>Master!AF51</f>
        <v>SIERRA LEON</v>
      </c>
      <c r="R49" s="55"/>
    </row>
    <row r="50" spans="1:18" ht="15.75" thickBot="1" x14ac:dyDescent="0.3">
      <c r="A50" s="55"/>
      <c r="B50" s="150" t="str">
        <f>Master!AF52</f>
        <v>SOMALIA</v>
      </c>
      <c r="C50" s="149" t="str">
        <f>Master!AG52</f>
        <v>SO</v>
      </c>
      <c r="D50" s="258">
        <v>26</v>
      </c>
      <c r="E50" s="258">
        <v>19</v>
      </c>
      <c r="F50" s="258">
        <v>19</v>
      </c>
      <c r="G50" s="258">
        <v>2</v>
      </c>
      <c r="H50" s="258">
        <v>8</v>
      </c>
      <c r="I50" s="258">
        <v>0</v>
      </c>
      <c r="J50" s="258">
        <v>0</v>
      </c>
      <c r="K50" s="258">
        <v>2</v>
      </c>
      <c r="L50" s="258">
        <v>11</v>
      </c>
      <c r="M50" s="258">
        <v>7</v>
      </c>
      <c r="N50" s="258">
        <v>0</v>
      </c>
      <c r="O50" s="258">
        <v>0</v>
      </c>
      <c r="P50" s="258">
        <f t="shared" si="0"/>
        <v>94</v>
      </c>
      <c r="Q50" s="150" t="str">
        <f>Master!AF52</f>
        <v>SOMALIA</v>
      </c>
      <c r="R50" s="55"/>
    </row>
    <row r="51" spans="1:18" ht="15.75" thickBot="1" x14ac:dyDescent="0.3">
      <c r="A51" s="55"/>
      <c r="B51" s="150" t="str">
        <f>Master!AF53</f>
        <v>SPAIN</v>
      </c>
      <c r="C51" s="149" t="str">
        <f>Master!AG53</f>
        <v>ES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f t="shared" si="0"/>
        <v>0</v>
      </c>
      <c r="Q51" s="150" t="str">
        <f>Master!AF53</f>
        <v>SPAIN</v>
      </c>
      <c r="R51" s="55"/>
    </row>
    <row r="52" spans="1:18" ht="15.75" thickBot="1" x14ac:dyDescent="0.3">
      <c r="A52" s="55"/>
      <c r="B52" s="150" t="str">
        <f>Master!AF54</f>
        <v>SOUTH SUDAN</v>
      </c>
      <c r="C52" s="149" t="str">
        <f>Master!AG54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0</v>
      </c>
      <c r="Q52" s="150" t="str">
        <f>Master!AF54</f>
        <v>SOUTH SUDAN</v>
      </c>
      <c r="R52" s="55"/>
    </row>
    <row r="53" spans="1:18" ht="15.75" thickBot="1" x14ac:dyDescent="0.3">
      <c r="A53" s="55"/>
      <c r="B53" s="150" t="str">
        <f>Master!AF55</f>
        <v>SRI LANKA</v>
      </c>
      <c r="C53" s="149" t="str">
        <f>Master!AG55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150" t="str">
        <f>Master!AF55</f>
        <v>SRI LANKA</v>
      </c>
      <c r="R53" s="55"/>
    </row>
    <row r="54" spans="1:18" ht="15.75" thickBot="1" x14ac:dyDescent="0.3">
      <c r="A54" s="55"/>
      <c r="B54" s="150" t="str">
        <f>Master!AF56</f>
        <v>SUDAN</v>
      </c>
      <c r="C54" s="149" t="str">
        <f>Master!AG56</f>
        <v>SU</v>
      </c>
      <c r="D54" s="258">
        <v>0</v>
      </c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0</v>
      </c>
      <c r="K54" s="258">
        <v>3</v>
      </c>
      <c r="L54" s="258">
        <v>0</v>
      </c>
      <c r="M54" s="258">
        <v>0</v>
      </c>
      <c r="N54" s="258">
        <v>0</v>
      </c>
      <c r="O54" s="258">
        <v>0</v>
      </c>
      <c r="P54" s="258">
        <f t="shared" si="0"/>
        <v>3</v>
      </c>
      <c r="Q54" s="150" t="str">
        <f>Master!AF56</f>
        <v>SUDAN</v>
      </c>
      <c r="R54" s="55"/>
    </row>
    <row r="55" spans="1:18" ht="15.75" thickBot="1" x14ac:dyDescent="0.3">
      <c r="A55" s="55"/>
      <c r="B55" s="150" t="str">
        <f>Master!AF57</f>
        <v>SYRIA</v>
      </c>
      <c r="C55" s="149" t="str">
        <f>Master!AG57</f>
        <v>SY</v>
      </c>
      <c r="D55" s="258">
        <v>16</v>
      </c>
      <c r="E55" s="258">
        <v>30</v>
      </c>
      <c r="F55" s="258">
        <v>18</v>
      </c>
      <c r="G55" s="258">
        <v>32</v>
      </c>
      <c r="H55" s="258">
        <v>24</v>
      </c>
      <c r="I55" s="258">
        <v>0</v>
      </c>
      <c r="J55" s="258">
        <v>2</v>
      </c>
      <c r="K55" s="258">
        <v>0</v>
      </c>
      <c r="L55" s="258">
        <v>0</v>
      </c>
      <c r="M55" s="258">
        <v>0</v>
      </c>
      <c r="N55" s="258">
        <v>5</v>
      </c>
      <c r="O55" s="258">
        <v>0</v>
      </c>
      <c r="P55" s="258">
        <f t="shared" si="0"/>
        <v>127</v>
      </c>
      <c r="Q55" s="150" t="str">
        <f>Master!AF57</f>
        <v>SYRIA</v>
      </c>
      <c r="R55" s="55"/>
    </row>
    <row r="56" spans="1:18" ht="15.75" thickBot="1" x14ac:dyDescent="0.3">
      <c r="A56" s="55"/>
      <c r="B56" s="150" t="str">
        <f>Master!AF58</f>
        <v>TAJIKISTAN</v>
      </c>
      <c r="C56" s="149" t="str">
        <f>Master!AG58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150" t="str">
        <f>Master!AF58</f>
        <v>TAJIKISTAN</v>
      </c>
      <c r="R56" s="55"/>
    </row>
    <row r="57" spans="1:18" ht="15.75" thickBot="1" x14ac:dyDescent="0.3">
      <c r="A57" s="55"/>
      <c r="B57" s="150" t="str">
        <f>Master!AF59</f>
        <v>TANZANIA</v>
      </c>
      <c r="C57" s="149" t="str">
        <f>Master!AG59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150" t="str">
        <f>Master!AF59</f>
        <v>TANZANIA</v>
      </c>
      <c r="R57" s="55"/>
    </row>
    <row r="58" spans="1:18" ht="15.75" thickBot="1" x14ac:dyDescent="0.3">
      <c r="A58" s="55"/>
      <c r="B58" s="150" t="str">
        <f>Master!AF60</f>
        <v>THAILAND</v>
      </c>
      <c r="C58" s="149" t="str">
        <f>Master!AG60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150" t="str">
        <f>Master!AF60</f>
        <v>THAILAND</v>
      </c>
      <c r="R58" s="55"/>
    </row>
    <row r="59" spans="1:18" ht="15.75" thickBot="1" x14ac:dyDescent="0.3">
      <c r="A59" s="55"/>
      <c r="B59" s="150" t="str">
        <f>Master!AF61</f>
        <v>UGANDA</v>
      </c>
      <c r="C59" s="149" t="str">
        <f>Master!AG61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0</v>
      </c>
      <c r="Q59" s="150" t="str">
        <f>Master!AF61</f>
        <v>UGANDA</v>
      </c>
      <c r="R59" s="55"/>
    </row>
    <row r="60" spans="1:18" ht="15.75" thickBot="1" x14ac:dyDescent="0.3">
      <c r="B60" s="150" t="str">
        <f>Master!AF62</f>
        <v>UKRAINE</v>
      </c>
      <c r="C60" s="149" t="str">
        <f>Master!AG62</f>
        <v>UP</v>
      </c>
      <c r="D60" s="258">
        <v>4</v>
      </c>
      <c r="E60" s="258">
        <v>0</v>
      </c>
      <c r="F60" s="258">
        <v>10</v>
      </c>
      <c r="G60" s="258">
        <v>2</v>
      </c>
      <c r="H60" s="258">
        <v>0</v>
      </c>
      <c r="I60" s="258">
        <v>4</v>
      </c>
      <c r="J60" s="258">
        <v>0</v>
      </c>
      <c r="K60" s="258">
        <v>2</v>
      </c>
      <c r="L60" s="258">
        <v>0</v>
      </c>
      <c r="M60" s="258">
        <v>0</v>
      </c>
      <c r="N60" s="258">
        <v>0</v>
      </c>
      <c r="O60" s="258">
        <v>0</v>
      </c>
      <c r="P60" s="258">
        <f t="shared" si="0"/>
        <v>22</v>
      </c>
      <c r="Q60" s="150" t="str">
        <f>Master!AF62</f>
        <v>UKRAINE</v>
      </c>
      <c r="R60" s="55"/>
    </row>
    <row r="61" spans="1:18" ht="15.75" thickBot="1" x14ac:dyDescent="0.3">
      <c r="B61" s="150" t="str">
        <f>Master!AF63</f>
        <v>UZBEKISTAN</v>
      </c>
      <c r="C61" s="149" t="str">
        <f>Master!AG63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 t="shared" si="0"/>
        <v>0</v>
      </c>
      <c r="Q61" s="150" t="str">
        <f>Master!AF63</f>
        <v>UZBEKISTAN</v>
      </c>
      <c r="R61" s="55"/>
    </row>
    <row r="62" spans="1:18" ht="15.75" thickBot="1" x14ac:dyDescent="0.3">
      <c r="B62" s="150" t="str">
        <f>Master!AF64</f>
        <v>VIETNAM</v>
      </c>
      <c r="C62" s="149" t="str">
        <f>Master!AG64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18</v>
      </c>
      <c r="P62" s="258">
        <f t="shared" si="0"/>
        <v>18</v>
      </c>
      <c r="Q62" s="150" t="str">
        <f>Master!AF64</f>
        <v>VIETNAM</v>
      </c>
      <c r="R62" s="263"/>
    </row>
    <row r="63" spans="1:18" s="263" customFormat="1" ht="15.75" thickBot="1" x14ac:dyDescent="0.3">
      <c r="B63" s="150" t="str">
        <f>Master!AF65</f>
        <v>ZAMBIA</v>
      </c>
      <c r="C63" s="149" t="str">
        <f>Master!AG65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 t="shared" si="0"/>
        <v>0</v>
      </c>
      <c r="Q63" s="150" t="str">
        <f>Master!AF65</f>
        <v>ZAMBIA</v>
      </c>
    </row>
    <row r="64" spans="1:18" ht="15.75" thickBot="1" x14ac:dyDescent="0.3">
      <c r="B64" s="150"/>
      <c r="C64" s="149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150"/>
      <c r="R64" s="263"/>
    </row>
    <row r="65" spans="2:18" ht="15.75" thickBot="1" x14ac:dyDescent="0.3">
      <c r="B65" s="305"/>
      <c r="C65" s="149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58"/>
      <c r="Q65" s="150"/>
      <c r="R65" s="263"/>
    </row>
    <row r="66" spans="2:18" ht="15.75" thickBot="1" x14ac:dyDescent="0.3">
      <c r="B66" s="354" t="s">
        <v>53</v>
      </c>
      <c r="C66" s="355"/>
      <c r="D66" s="249">
        <f>SUM(D5:D64)</f>
        <v>78</v>
      </c>
      <c r="E66" s="249">
        <f>SUM(E5:E64)</f>
        <v>104</v>
      </c>
      <c r="F66" s="249">
        <f>SUM(F5:F64)</f>
        <v>76</v>
      </c>
      <c r="G66" s="249">
        <f>SUM(G5:G64)</f>
        <v>42</v>
      </c>
      <c r="H66" s="249">
        <f>SUM(H5:H64)</f>
        <v>42</v>
      </c>
      <c r="I66" s="249">
        <f>SUM(I5:I64)</f>
        <v>10</v>
      </c>
      <c r="J66" s="249">
        <f>SUM(J5:J64)</f>
        <v>13</v>
      </c>
      <c r="K66" s="249">
        <f>SUM(K5:K64)</f>
        <v>17</v>
      </c>
      <c r="L66" s="249">
        <v>43</v>
      </c>
      <c r="M66" s="249">
        <v>7</v>
      </c>
      <c r="N66" s="249">
        <v>5</v>
      </c>
      <c r="O66" s="249">
        <v>36</v>
      </c>
      <c r="P66" s="249">
        <f>SUM(D66:O66)</f>
        <v>473</v>
      </c>
      <c r="Q66" s="240" t="s">
        <v>53</v>
      </c>
      <c r="R66" s="263"/>
    </row>
    <row r="67" spans="2:18" x14ac:dyDescent="0.25"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</row>
    <row r="68" spans="2:18" x14ac:dyDescent="0.25"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</row>
    <row r="69" spans="2:18" x14ac:dyDescent="0.25"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</row>
    <row r="70" spans="2:18" x14ac:dyDescent="0.25"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</row>
    <row r="71" spans="2:18" x14ac:dyDescent="0.25"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</row>
    <row r="72" spans="2:18" x14ac:dyDescent="0.25"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</row>
    <row r="73" spans="2:18" x14ac:dyDescent="0.25"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</row>
    <row r="74" spans="2:18" x14ac:dyDescent="0.25"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</row>
    <row r="75" spans="2:18" x14ac:dyDescent="0.25"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</row>
    <row r="76" spans="2:18" x14ac:dyDescent="0.25"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</row>
    <row r="77" spans="2:18" x14ac:dyDescent="0.25"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</row>
    <row r="78" spans="2:18" x14ac:dyDescent="0.25"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T155"/>
  <sheetViews>
    <sheetView workbookViewId="0">
      <selection activeCell="P144" sqref="P144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20" ht="10.5" customHeight="1" thickBot="1" x14ac:dyDescent="0.3"/>
    <row r="2" spans="2:20" ht="15.75" thickBot="1" x14ac:dyDescent="0.3">
      <c r="B2" s="383" t="s">
        <v>3</v>
      </c>
      <c r="C2" s="384"/>
      <c r="D2" s="384"/>
      <c r="E2" s="384"/>
      <c r="F2" s="384"/>
      <c r="G2" s="384"/>
      <c r="H2" s="384"/>
      <c r="I2" s="384"/>
      <c r="J2" s="387" t="s">
        <v>4</v>
      </c>
      <c r="K2" s="387"/>
      <c r="L2" s="387"/>
      <c r="M2" s="387"/>
      <c r="N2" s="387"/>
      <c r="O2" s="387"/>
      <c r="P2" s="387"/>
      <c r="Q2" s="388"/>
    </row>
    <row r="3" spans="2:20" ht="13.5" customHeight="1" thickBot="1" x14ac:dyDescent="0.3">
      <c r="B3" s="369"/>
      <c r="C3" s="370"/>
      <c r="D3" s="149" t="s">
        <v>19</v>
      </c>
      <c r="E3" s="149" t="s">
        <v>20</v>
      </c>
      <c r="F3" s="149" t="s">
        <v>21</v>
      </c>
      <c r="G3" s="149" t="s">
        <v>22</v>
      </c>
      <c r="H3" s="149" t="s">
        <v>23</v>
      </c>
      <c r="I3" s="149" t="s">
        <v>24</v>
      </c>
      <c r="J3" s="149" t="s">
        <v>25</v>
      </c>
      <c r="K3" s="149" t="s">
        <v>26</v>
      </c>
      <c r="L3" s="149" t="s">
        <v>27</v>
      </c>
      <c r="M3" s="149" t="s">
        <v>28</v>
      </c>
      <c r="N3" s="149" t="s">
        <v>29</v>
      </c>
      <c r="O3" s="149" t="s">
        <v>30</v>
      </c>
      <c r="P3" s="392" t="s">
        <v>40</v>
      </c>
      <c r="Q3" s="375"/>
    </row>
    <row r="4" spans="2:20" ht="13.5" customHeight="1" thickBot="1" x14ac:dyDescent="0.3">
      <c r="B4" s="371"/>
      <c r="C4" s="372"/>
      <c r="D4" s="67">
        <v>10</v>
      </c>
      <c r="E4" s="67">
        <v>11</v>
      </c>
      <c r="F4" s="67">
        <v>12</v>
      </c>
      <c r="G4" s="67">
        <v>1</v>
      </c>
      <c r="H4" s="67">
        <v>2</v>
      </c>
      <c r="I4" s="67">
        <v>3</v>
      </c>
      <c r="J4" s="67">
        <v>4</v>
      </c>
      <c r="K4" s="67">
        <v>5</v>
      </c>
      <c r="L4" s="67">
        <v>6</v>
      </c>
      <c r="M4" s="67">
        <v>7</v>
      </c>
      <c r="N4" s="67">
        <v>8</v>
      </c>
      <c r="O4" s="67">
        <v>9</v>
      </c>
      <c r="P4" s="393"/>
      <c r="Q4" s="376"/>
    </row>
    <row r="5" spans="2:20" ht="15.75" thickBot="1" x14ac:dyDescent="0.3">
      <c r="B5" s="150" t="str">
        <f>Master!AF7</f>
        <v>AFGHANISTAN</v>
      </c>
      <c r="C5" s="149" t="str">
        <f>Master!AG7</f>
        <v>AF</v>
      </c>
      <c r="D5" s="66">
        <v>7</v>
      </c>
      <c r="E5" s="258">
        <v>0</v>
      </c>
      <c r="F5" s="258">
        <v>0</v>
      </c>
      <c r="G5" s="258">
        <v>0</v>
      </c>
      <c r="H5" s="258">
        <v>0</v>
      </c>
      <c r="I5" s="258">
        <v>0</v>
      </c>
      <c r="J5" s="258">
        <v>0</v>
      </c>
      <c r="K5" s="258">
        <v>0</v>
      </c>
      <c r="L5" s="258">
        <v>0</v>
      </c>
      <c r="M5" s="258">
        <v>0</v>
      </c>
      <c r="N5" s="258">
        <v>0</v>
      </c>
      <c r="O5" s="258">
        <v>0</v>
      </c>
      <c r="P5" s="258">
        <f>SUM(D5:O5)</f>
        <v>7</v>
      </c>
      <c r="Q5" s="150" t="str">
        <f>Master!AF7</f>
        <v>AFGHANISTAN</v>
      </c>
    </row>
    <row r="6" spans="2:20" ht="15.75" thickBot="1" x14ac:dyDescent="0.3">
      <c r="B6" s="150" t="str">
        <f>Master!AF8</f>
        <v>ARMENIA</v>
      </c>
      <c r="C6" s="149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" si="0">SUM(D6:O6)</f>
        <v>0</v>
      </c>
      <c r="Q6" s="150" t="str">
        <f>Master!AF8</f>
        <v>ARMENIA</v>
      </c>
    </row>
    <row r="7" spans="2:20" ht="15.75" thickBot="1" x14ac:dyDescent="0.3">
      <c r="B7" s="150" t="s">
        <v>780</v>
      </c>
      <c r="C7" s="149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/>
      <c r="Q7" s="150" t="s">
        <v>780</v>
      </c>
    </row>
    <row r="8" spans="2:20" ht="15.75" thickBot="1" x14ac:dyDescent="0.3">
      <c r="B8" s="150" t="str">
        <f>Master!AF10</f>
        <v>BELARUS</v>
      </c>
      <c r="C8" s="149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>SUM(D8:O8)</f>
        <v>0</v>
      </c>
      <c r="Q8" s="150" t="str">
        <f>Master!AF10</f>
        <v>BELARUS</v>
      </c>
    </row>
    <row r="9" spans="2:20" ht="15.75" thickBot="1" x14ac:dyDescent="0.3">
      <c r="B9" s="150" t="str">
        <f>Master!AF11</f>
        <v>BURMA</v>
      </c>
      <c r="C9" s="149" t="str">
        <f>Master!AG11</f>
        <v>BM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258">
        <v>0</v>
      </c>
      <c r="K9" s="258">
        <v>1</v>
      </c>
      <c r="L9" s="258">
        <v>0</v>
      </c>
      <c r="M9" s="258">
        <v>0</v>
      </c>
      <c r="N9" s="258">
        <v>0</v>
      </c>
      <c r="O9" s="258">
        <v>0</v>
      </c>
      <c r="P9" s="258">
        <f>SUM(D9:O9)</f>
        <v>1</v>
      </c>
      <c r="Q9" s="150" t="str">
        <f>Master!AF11</f>
        <v>BURMA</v>
      </c>
      <c r="R9" s="263"/>
      <c r="S9" s="263"/>
      <c r="T9" s="263"/>
    </row>
    <row r="10" spans="2:20" ht="15.75" thickBot="1" x14ac:dyDescent="0.3">
      <c r="B10" s="150" t="str">
        <f>Master!AF12</f>
        <v>BHUTAN</v>
      </c>
      <c r="C10" s="149" t="str">
        <f>Master!AG12</f>
        <v>BT</v>
      </c>
      <c r="D10" s="258">
        <v>4</v>
      </c>
      <c r="E10" s="258">
        <v>2</v>
      </c>
      <c r="F10" s="258">
        <v>0</v>
      </c>
      <c r="G10" s="258">
        <v>1</v>
      </c>
      <c r="H10" s="258">
        <v>3</v>
      </c>
      <c r="I10" s="258">
        <v>0</v>
      </c>
      <c r="J10" s="258">
        <v>0</v>
      </c>
      <c r="K10" s="258">
        <v>4</v>
      </c>
      <c r="L10" s="258">
        <v>10</v>
      </c>
      <c r="M10" s="258">
        <v>0</v>
      </c>
      <c r="N10" s="258">
        <v>0</v>
      </c>
      <c r="O10" s="258">
        <v>4</v>
      </c>
      <c r="P10" s="258">
        <f>SUM(D10:O10)</f>
        <v>28</v>
      </c>
      <c r="Q10" s="150" t="str">
        <f>Master!AF12</f>
        <v>BHUTAN</v>
      </c>
      <c r="R10" s="263"/>
      <c r="S10" s="263"/>
      <c r="T10" s="263"/>
    </row>
    <row r="11" spans="2:20" ht="15.75" thickBot="1" x14ac:dyDescent="0.3">
      <c r="B11" s="150" t="s">
        <v>779</v>
      </c>
      <c r="C11" s="149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/>
      <c r="Q11" s="150" t="s">
        <v>779</v>
      </c>
    </row>
    <row r="12" spans="2:20" ht="15.75" thickBot="1" x14ac:dyDescent="0.3">
      <c r="B12" s="150" t="str">
        <f>Master!AF14</f>
        <v>BURUNDI</v>
      </c>
      <c r="C12" s="149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>SUM(D12:O12)</f>
        <v>0</v>
      </c>
      <c r="Q12" s="150" t="str">
        <f>Master!AF14</f>
        <v>BURUNDI</v>
      </c>
      <c r="R12" s="263"/>
      <c r="S12" s="263"/>
      <c r="T12" s="263"/>
    </row>
    <row r="13" spans="2:20" ht="15.75" thickBot="1" x14ac:dyDescent="0.3">
      <c r="B13" s="150" t="str">
        <f>Master!AF15</f>
        <v>CAMEROUN</v>
      </c>
      <c r="C13" s="149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>SUM(D13:O13)</f>
        <v>0</v>
      </c>
      <c r="Q13" s="150" t="str">
        <f>Master!AF15</f>
        <v>CAMEROUN</v>
      </c>
      <c r="R13" s="263"/>
      <c r="S13" s="263"/>
      <c r="T13" s="263"/>
    </row>
    <row r="14" spans="2:20" ht="15.75" thickBot="1" x14ac:dyDescent="0.3">
      <c r="B14" s="150" t="str">
        <f>Master!AF16</f>
        <v>CENTRAL AFR REP</v>
      </c>
      <c r="C14" s="149" t="str">
        <f>Master!AG16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f>SUM(D14:O14)</f>
        <v>0</v>
      </c>
      <c r="Q14" s="150" t="str">
        <f>Master!AF16</f>
        <v>CENTRAL AFR REP</v>
      </c>
      <c r="R14" s="263"/>
      <c r="S14" s="263"/>
      <c r="T14" s="263"/>
    </row>
    <row r="15" spans="2:20" ht="15.75" thickBot="1" x14ac:dyDescent="0.3">
      <c r="B15" s="150" t="str">
        <f>Master!AF17</f>
        <v>CHINA</v>
      </c>
      <c r="C15" s="149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>SUM(D15:O15)</f>
        <v>0</v>
      </c>
      <c r="Q15" s="150" t="str">
        <f>Master!AF17</f>
        <v>CHINA</v>
      </c>
      <c r="R15" s="263"/>
      <c r="S15" s="263"/>
      <c r="T15" s="263"/>
    </row>
    <row r="16" spans="2:20" ht="15.75" thickBot="1" x14ac:dyDescent="0.3">
      <c r="B16" s="150" t="str">
        <f>Master!AF18</f>
        <v>DEM REP OF CONGO</v>
      </c>
      <c r="C16" s="149" t="str">
        <f>Master!AG18</f>
        <v>CG</v>
      </c>
      <c r="D16" s="258">
        <v>5</v>
      </c>
      <c r="E16" s="258">
        <v>23</v>
      </c>
      <c r="F16" s="258">
        <v>4</v>
      </c>
      <c r="G16" s="258">
        <v>0</v>
      </c>
      <c r="H16" s="258">
        <v>5</v>
      </c>
      <c r="I16" s="258">
        <v>0</v>
      </c>
      <c r="J16" s="258">
        <v>0</v>
      </c>
      <c r="K16" s="258">
        <v>0</v>
      </c>
      <c r="L16" s="258">
        <v>5</v>
      </c>
      <c r="M16" s="258">
        <v>0</v>
      </c>
      <c r="N16" s="258">
        <v>0</v>
      </c>
      <c r="O16" s="258">
        <v>0</v>
      </c>
      <c r="P16" s="258">
        <f>SUM(D16:O16)</f>
        <v>42</v>
      </c>
      <c r="Q16" s="150" t="str">
        <f>Master!AF18</f>
        <v>DEM REP OF CONGO</v>
      </c>
      <c r="R16" s="263"/>
      <c r="S16" s="263"/>
      <c r="T16" s="263"/>
    </row>
    <row r="17" spans="2:20" ht="15.75" thickBot="1" x14ac:dyDescent="0.3">
      <c r="B17" s="150" t="str">
        <f>Master!AF19</f>
        <v>COLUMBIA</v>
      </c>
      <c r="C17" s="149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>SUM(D17:O17)</f>
        <v>0</v>
      </c>
      <c r="Q17" s="150" t="str">
        <f>Master!AF19</f>
        <v>COLUMBIA</v>
      </c>
      <c r="R17" s="263"/>
      <c r="S17" s="263"/>
      <c r="T17" s="263"/>
    </row>
    <row r="18" spans="2:20" ht="15.75" thickBot="1" x14ac:dyDescent="0.3">
      <c r="B18" s="150" t="str">
        <f>Master!AF20</f>
        <v>CONGO</v>
      </c>
      <c r="C18" s="149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>SUM(D18:O18)</f>
        <v>0</v>
      </c>
      <c r="Q18" s="150" t="str">
        <f>Master!AF20</f>
        <v>CONGO</v>
      </c>
      <c r="R18" s="263"/>
      <c r="S18" s="263"/>
      <c r="T18" s="263"/>
    </row>
    <row r="19" spans="2:20" ht="15.75" thickBot="1" x14ac:dyDescent="0.3">
      <c r="B19" s="150" t="str">
        <f>Master!AF21</f>
        <v>CUBA</v>
      </c>
      <c r="C19" s="149" t="str">
        <f>Master!AG21</f>
        <v>CU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f>SUM(D19:O19)</f>
        <v>0</v>
      </c>
      <c r="Q19" s="150" t="str">
        <f>Master!AF21</f>
        <v>CUBA</v>
      </c>
      <c r="R19" s="263"/>
      <c r="S19" s="263"/>
      <c r="T19" s="263"/>
    </row>
    <row r="20" spans="2:20" ht="15.75" thickBot="1" x14ac:dyDescent="0.3">
      <c r="B20" s="150" t="str">
        <f>Master!AF22</f>
        <v>CUBAN ENTRANT</v>
      </c>
      <c r="C20" s="149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>SUM(D20:O20)</f>
        <v>0</v>
      </c>
      <c r="Q20" s="150" t="str">
        <f>Master!AF22</f>
        <v>CUBAN ENTRANT</v>
      </c>
      <c r="R20" s="263"/>
      <c r="S20" s="263"/>
      <c r="T20" s="263"/>
    </row>
    <row r="21" spans="2:20" ht="15.75" thickBot="1" x14ac:dyDescent="0.3">
      <c r="B21" s="150" t="str">
        <f>Master!AF23</f>
        <v>ECUADOR</v>
      </c>
      <c r="C21" s="149" t="str">
        <f>Master!AG23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>SUM(D21:O21)</f>
        <v>0</v>
      </c>
      <c r="Q21" s="150" t="str">
        <f>Master!AF23</f>
        <v>ECUADOR</v>
      </c>
      <c r="R21" s="263"/>
      <c r="S21" s="263"/>
      <c r="T21" s="263"/>
    </row>
    <row r="22" spans="2:20" ht="15.75" thickBot="1" x14ac:dyDescent="0.3">
      <c r="B22" s="150" t="str">
        <f>Master!AF24</f>
        <v>EGYPT</v>
      </c>
      <c r="C22" s="149" t="str">
        <f>Master!AG24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>SUM(D22:O22)</f>
        <v>0</v>
      </c>
      <c r="Q22" s="150" t="str">
        <f>Master!AF24</f>
        <v>EGYPT</v>
      </c>
      <c r="R22" s="263"/>
      <c r="S22" s="263"/>
      <c r="T22" s="263"/>
    </row>
    <row r="23" spans="2:20" ht="15.75" thickBot="1" x14ac:dyDescent="0.3">
      <c r="B23" s="150" t="str">
        <f>Master!AF25</f>
        <v>ERITREA</v>
      </c>
      <c r="C23" s="149" t="str">
        <f>Master!AG25</f>
        <v>ER</v>
      </c>
      <c r="D23" s="258">
        <v>7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f>SUM(D23:O23)</f>
        <v>7</v>
      </c>
      <c r="Q23" s="150" t="str">
        <f>Master!AF25</f>
        <v>ERITREA</v>
      </c>
      <c r="R23" s="263"/>
      <c r="S23" s="263"/>
      <c r="T23" s="263"/>
    </row>
    <row r="24" spans="2:20" ht="15.75" thickBot="1" x14ac:dyDescent="0.3">
      <c r="B24" s="150" t="str">
        <f>Master!AF26</f>
        <v>ETHIOPIA</v>
      </c>
      <c r="C24" s="149" t="str">
        <f>Master!AG26</f>
        <v>ET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f>SUM(D24:O24)</f>
        <v>0</v>
      </c>
      <c r="Q24" s="150" t="str">
        <f>Master!AF26</f>
        <v>ETHIOPIA</v>
      </c>
      <c r="R24" s="263"/>
      <c r="S24" s="263"/>
      <c r="T24" s="263"/>
    </row>
    <row r="25" spans="2:20" ht="15.75" thickBot="1" x14ac:dyDescent="0.3">
      <c r="B25" s="150" t="str">
        <f>Master!AF27</f>
        <v>FRANCE</v>
      </c>
      <c r="C25" s="149" t="str">
        <f>Master!AG27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>SUM(D25:O25)</f>
        <v>0</v>
      </c>
      <c r="Q25" s="150" t="str">
        <f>Master!AF27</f>
        <v>FRANCE</v>
      </c>
      <c r="R25" s="263"/>
      <c r="S25" s="263"/>
      <c r="T25" s="263"/>
    </row>
    <row r="26" spans="2:20" ht="15.75" thickBot="1" x14ac:dyDescent="0.3">
      <c r="B26" s="150" t="str">
        <f>Master!AF28</f>
        <v>GUINEA</v>
      </c>
      <c r="C26" s="149" t="str">
        <f>Master!AG28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>SUM(D26:O26)</f>
        <v>0</v>
      </c>
      <c r="Q26" s="150" t="str">
        <f>Master!AF28</f>
        <v>GUINEA</v>
      </c>
      <c r="R26" s="263"/>
      <c r="S26" s="263"/>
      <c r="T26" s="263"/>
    </row>
    <row r="27" spans="2:20" ht="15.75" thickBot="1" x14ac:dyDescent="0.3">
      <c r="B27" s="150" t="str">
        <f>Master!AF29</f>
        <v>HAITI</v>
      </c>
      <c r="C27" s="149" t="str">
        <f>Master!AG29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f>SUM(D27:O27)</f>
        <v>0</v>
      </c>
      <c r="Q27" s="150" t="str">
        <f>Master!AF29</f>
        <v>HAITI</v>
      </c>
      <c r="R27" s="263"/>
      <c r="S27" s="263"/>
      <c r="T27" s="263"/>
    </row>
    <row r="28" spans="2:20" ht="15.75" thickBot="1" x14ac:dyDescent="0.3">
      <c r="B28" s="150" t="str">
        <f>Master!AF30</f>
        <v>INDIA</v>
      </c>
      <c r="C28" s="149" t="str">
        <f>Master!AG30</f>
        <v>IN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f>SUM(D28:O28)</f>
        <v>0</v>
      </c>
      <c r="Q28" s="150" t="str">
        <f>Master!AF30</f>
        <v>INDIA</v>
      </c>
      <c r="R28" s="263"/>
      <c r="S28" s="263"/>
      <c r="T28" s="263"/>
    </row>
    <row r="29" spans="2:20" ht="15.75" thickBot="1" x14ac:dyDescent="0.3">
      <c r="B29" s="150" t="str">
        <f>Master!AF31</f>
        <v>INDONESIA</v>
      </c>
      <c r="C29" s="149" t="str">
        <f>Master!AG31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>SUM(D29:O29)</f>
        <v>0</v>
      </c>
      <c r="Q29" s="150" t="str">
        <f>Master!AF31</f>
        <v>INDONESIA</v>
      </c>
      <c r="R29" s="263"/>
      <c r="S29" s="263"/>
      <c r="T29" s="263"/>
    </row>
    <row r="30" spans="2:20" ht="15.75" thickBot="1" x14ac:dyDescent="0.3">
      <c r="B30" s="150" t="str">
        <f>Master!AF32</f>
        <v>IRAN</v>
      </c>
      <c r="C30" s="149" t="str">
        <f>Master!AG32</f>
        <v>IR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>SUM(D30:O30)</f>
        <v>0</v>
      </c>
      <c r="Q30" s="150" t="str">
        <f>Master!AF32</f>
        <v>IRAN</v>
      </c>
      <c r="R30" s="263"/>
      <c r="S30" s="263"/>
      <c r="T30" s="263"/>
    </row>
    <row r="31" spans="2:20" ht="15.75" thickBot="1" x14ac:dyDescent="0.3">
      <c r="B31" s="150" t="str">
        <f>Master!AF33</f>
        <v>IRAQ</v>
      </c>
      <c r="C31" s="149" t="str">
        <f>Master!AG33</f>
        <v>IZ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1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f>SUM(D31:O31)</f>
        <v>1</v>
      </c>
      <c r="Q31" s="150" t="str">
        <f>Master!AF33</f>
        <v>IRAQ</v>
      </c>
      <c r="R31" s="263"/>
      <c r="S31" s="263"/>
      <c r="T31" s="263"/>
    </row>
    <row r="32" spans="2:20" ht="15.75" thickBot="1" x14ac:dyDescent="0.3">
      <c r="B32" s="150" t="str">
        <f>Master!AF34</f>
        <v>IVORY COAST</v>
      </c>
      <c r="C32" s="149" t="str">
        <f>Master!AG34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>SUM(D32:O32)</f>
        <v>0</v>
      </c>
      <c r="Q32" s="150" t="str">
        <f>Master!AF34</f>
        <v>IVORY COAST</v>
      </c>
      <c r="R32" s="263"/>
      <c r="S32" s="263"/>
      <c r="T32" s="263"/>
    </row>
    <row r="33" spans="2:20" ht="15.75" thickBot="1" x14ac:dyDescent="0.3">
      <c r="B33" s="150" t="str">
        <f>Master!AF35</f>
        <v>JORDAN</v>
      </c>
      <c r="C33" s="149" t="str">
        <f>Master!AG35</f>
        <v>JO</v>
      </c>
      <c r="D33" s="258">
        <v>0</v>
      </c>
      <c r="E33" s="258">
        <v>0</v>
      </c>
      <c r="F33" s="258">
        <v>0</v>
      </c>
      <c r="G33" s="258">
        <v>1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>SUM(D33:O33)</f>
        <v>1</v>
      </c>
      <c r="Q33" s="150" t="str">
        <f>Master!AF35</f>
        <v>JORDAN</v>
      </c>
      <c r="R33" s="263"/>
      <c r="S33" s="263"/>
      <c r="T33" s="263"/>
    </row>
    <row r="34" spans="2:20" ht="15.75" thickBot="1" x14ac:dyDescent="0.3">
      <c r="B34" s="150" t="str">
        <f>Master!AF36</f>
        <v>KAZAKHSTAN</v>
      </c>
      <c r="C34" s="149" t="str">
        <f>Master!AG36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>SUM(D34:O34)</f>
        <v>0</v>
      </c>
      <c r="Q34" s="150" t="str">
        <f>Master!AF36</f>
        <v>KAZAKHSTAN</v>
      </c>
      <c r="R34" s="263"/>
      <c r="S34" s="263"/>
      <c r="T34" s="263"/>
    </row>
    <row r="35" spans="2:20" ht="15.75" thickBot="1" x14ac:dyDescent="0.3">
      <c r="B35" s="150" t="str">
        <f>Master!AF37</f>
        <v>KENYA</v>
      </c>
      <c r="C35" s="149" t="str">
        <f>Master!AG37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>SUM(D35:O35)</f>
        <v>0</v>
      </c>
      <c r="Q35" s="150" t="str">
        <f>Master!AF37</f>
        <v>KENYA</v>
      </c>
      <c r="R35" s="263"/>
      <c r="S35" s="263"/>
      <c r="T35" s="263"/>
    </row>
    <row r="36" spans="2:20" ht="15.75" thickBot="1" x14ac:dyDescent="0.3">
      <c r="B36" s="150" t="str">
        <f>Master!AF38</f>
        <v>LEBANON</v>
      </c>
      <c r="C36" s="149" t="str">
        <f>Master!AG38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>SUM(D36:O36)</f>
        <v>0</v>
      </c>
      <c r="Q36" s="150" t="str">
        <f>Master!AF38</f>
        <v>LEBANON</v>
      </c>
      <c r="R36" s="263"/>
      <c r="S36" s="263"/>
      <c r="T36" s="263"/>
    </row>
    <row r="37" spans="2:20" ht="15.75" thickBot="1" x14ac:dyDescent="0.3">
      <c r="B37" s="150" t="str">
        <f>Master!AF39</f>
        <v>LIBERIA</v>
      </c>
      <c r="C37" s="149" t="str">
        <f>Master!AG39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>SUM(D37:O37)</f>
        <v>0</v>
      </c>
      <c r="Q37" s="150" t="str">
        <f>Master!AF39</f>
        <v>LIBERIA</v>
      </c>
      <c r="R37" s="263"/>
      <c r="S37" s="263"/>
      <c r="T37" s="263"/>
    </row>
    <row r="38" spans="2:20" ht="15.75" thickBot="1" x14ac:dyDescent="0.3">
      <c r="B38" s="150" t="str">
        <f>Master!AF40</f>
        <v>LIBYA</v>
      </c>
      <c r="C38" s="149" t="str">
        <f>Master!AG40</f>
        <v>LY</v>
      </c>
      <c r="D38" s="258">
        <v>0</v>
      </c>
      <c r="E38" s="258">
        <v>0</v>
      </c>
      <c r="F38" s="258">
        <v>3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>SUM(D38:O38)</f>
        <v>3</v>
      </c>
      <c r="Q38" s="150" t="str">
        <f>Master!AF40</f>
        <v>LIBYA</v>
      </c>
      <c r="R38" s="263"/>
      <c r="S38" s="263"/>
      <c r="T38" s="263"/>
    </row>
    <row r="39" spans="2:20" ht="15.75" thickBot="1" x14ac:dyDescent="0.3">
      <c r="B39" s="150" t="str">
        <f>Master!AF41</f>
        <v>MOLDOVA</v>
      </c>
      <c r="C39" s="149" t="str">
        <f>Master!AG41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>SUM(D39:O39)</f>
        <v>0</v>
      </c>
      <c r="Q39" s="150" t="str">
        <f>Master!AF41</f>
        <v>MOLDOVA</v>
      </c>
      <c r="R39" s="263"/>
      <c r="S39" s="263"/>
      <c r="T39" s="263"/>
    </row>
    <row r="40" spans="2:20" ht="15.75" thickBot="1" x14ac:dyDescent="0.3">
      <c r="B40" s="150" t="str">
        <f>Master!AF42</f>
        <v>MALI</v>
      </c>
      <c r="C40" s="149" t="str">
        <f>Master!AG42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>SUM(D40:O40)</f>
        <v>0</v>
      </c>
      <c r="Q40" s="150" t="str">
        <f>Master!AF42</f>
        <v>MALI</v>
      </c>
      <c r="R40" s="263"/>
      <c r="S40" s="263"/>
      <c r="T40" s="263"/>
    </row>
    <row r="41" spans="2:20" ht="15.75" thickBot="1" x14ac:dyDescent="0.3">
      <c r="B41" s="150" t="str">
        <f>Master!AF43</f>
        <v>MALAYSIA</v>
      </c>
      <c r="C41" s="149" t="str">
        <f>Master!AG43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>SUM(D41:O41)</f>
        <v>0</v>
      </c>
      <c r="Q41" s="150" t="str">
        <f>Master!AF43</f>
        <v>MALAYSIA</v>
      </c>
      <c r="R41" s="263"/>
      <c r="S41" s="263"/>
      <c r="T41" s="263"/>
    </row>
    <row r="42" spans="2:20" ht="15.75" thickBot="1" x14ac:dyDescent="0.3">
      <c r="B42" s="150" t="str">
        <f>Master!AF44</f>
        <v>NAMIBIA</v>
      </c>
      <c r="C42" s="149" t="str">
        <f>Master!AG44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>SUM(D42:O42)</f>
        <v>0</v>
      </c>
      <c r="Q42" s="150" t="str">
        <f>Master!AF44</f>
        <v>NAMIBIA</v>
      </c>
      <c r="R42" s="263"/>
      <c r="S42" s="263"/>
      <c r="T42" s="263"/>
    </row>
    <row r="43" spans="2:20" ht="15.75" thickBot="1" x14ac:dyDescent="0.3">
      <c r="B43" s="150" t="str">
        <f>Master!AF45</f>
        <v>NEPAL</v>
      </c>
      <c r="C43" s="149" t="str">
        <f>Master!AG45</f>
        <v>NP</v>
      </c>
      <c r="D43" s="258">
        <v>0</v>
      </c>
      <c r="E43" s="258">
        <v>1</v>
      </c>
      <c r="F43" s="258">
        <v>0</v>
      </c>
      <c r="G43" s="258">
        <v>0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8">
        <v>0</v>
      </c>
      <c r="N43" s="258">
        <v>0</v>
      </c>
      <c r="O43" s="258">
        <v>0</v>
      </c>
      <c r="P43" s="258">
        <f>SUM(D43:O43)</f>
        <v>1</v>
      </c>
      <c r="Q43" s="150" t="str">
        <f>Master!AF45</f>
        <v>NEPAL</v>
      </c>
      <c r="R43" s="263"/>
      <c r="S43" s="263"/>
      <c r="T43" s="263"/>
    </row>
    <row r="44" spans="2:20" ht="15.75" thickBot="1" x14ac:dyDescent="0.3">
      <c r="B44" s="150" t="str">
        <f>Master!AF46</f>
        <v>NIGERIA</v>
      </c>
      <c r="C44" s="149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>SUM(D44:O44)</f>
        <v>0</v>
      </c>
      <c r="Q44" s="150" t="str">
        <f>Master!AF46</f>
        <v>NIGERIA</v>
      </c>
      <c r="R44" s="263"/>
      <c r="S44" s="263"/>
      <c r="T44" s="263"/>
    </row>
    <row r="45" spans="2:20" ht="15.75" thickBot="1" x14ac:dyDescent="0.3">
      <c r="B45" s="150" t="str">
        <f>Master!AF47</f>
        <v>PAKISTAN</v>
      </c>
      <c r="C45" s="149" t="str">
        <f>Master!AG47</f>
        <v>PK</v>
      </c>
      <c r="D45" s="258">
        <v>0</v>
      </c>
      <c r="E45" s="258">
        <v>0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>SUM(D45:O45)</f>
        <v>0</v>
      </c>
      <c r="Q45" s="150" t="str">
        <f>Master!AF47</f>
        <v>PAKISTAN</v>
      </c>
      <c r="R45" s="263"/>
      <c r="S45" s="263"/>
      <c r="T45" s="263"/>
    </row>
    <row r="46" spans="2:20" ht="15.75" thickBot="1" x14ac:dyDescent="0.3">
      <c r="B46" s="150" t="str">
        <f>Master!AF48</f>
        <v>PITCAIRN ISLANDS</v>
      </c>
      <c r="C46" s="149" t="str">
        <f>Master!AG48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>SUM(D46:O46)</f>
        <v>0</v>
      </c>
      <c r="Q46" s="150" t="str">
        <f>Master!AF48</f>
        <v>PITCAIRN ISLANDS</v>
      </c>
      <c r="R46" s="263"/>
      <c r="S46" s="263"/>
      <c r="T46" s="263"/>
    </row>
    <row r="47" spans="2:20" ht="15.75" thickBot="1" x14ac:dyDescent="0.3">
      <c r="B47" s="150" t="str">
        <f>Master!AF49</f>
        <v>RWANDA</v>
      </c>
      <c r="C47" s="149" t="str">
        <f>Master!AG49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f>SUM(D47:O47)</f>
        <v>0</v>
      </c>
      <c r="Q47" s="150" t="str">
        <f>Master!AF49</f>
        <v>RWANDA</v>
      </c>
      <c r="R47" s="263"/>
      <c r="S47" s="263"/>
      <c r="T47" s="263"/>
    </row>
    <row r="48" spans="2:20" ht="15.75" thickBot="1" x14ac:dyDescent="0.3">
      <c r="B48" s="150" t="str">
        <f>Master!AF50</f>
        <v>RUSSIA</v>
      </c>
      <c r="C48" s="149" t="str">
        <f>Master!AG50</f>
        <v>RS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f>SUM(D48:O48)</f>
        <v>0</v>
      </c>
      <c r="Q48" s="150" t="str">
        <f>Master!AF50</f>
        <v>RUSSIA</v>
      </c>
      <c r="R48" s="263"/>
      <c r="S48" s="263"/>
      <c r="T48" s="263"/>
    </row>
    <row r="49" spans="2:20" ht="15.75" thickBot="1" x14ac:dyDescent="0.3">
      <c r="B49" s="150" t="str">
        <f>Master!AF51</f>
        <v>SIERRA LEON</v>
      </c>
      <c r="C49" s="149" t="str">
        <f>Master!AG51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>SUM(D49:O49)</f>
        <v>0</v>
      </c>
      <c r="Q49" s="150" t="str">
        <f>Master!AF51</f>
        <v>SIERRA LEON</v>
      </c>
      <c r="R49" s="263"/>
      <c r="S49" s="263"/>
      <c r="T49" s="263"/>
    </row>
    <row r="50" spans="2:20" ht="15.75" thickBot="1" x14ac:dyDescent="0.3">
      <c r="B50" s="150" t="str">
        <f>Master!AF52</f>
        <v>SOMALIA</v>
      </c>
      <c r="C50" s="149" t="str">
        <f>Master!AG52</f>
        <v>SO</v>
      </c>
      <c r="D50" s="258">
        <v>1</v>
      </c>
      <c r="E50" s="258">
        <v>8</v>
      </c>
      <c r="F50" s="258">
        <v>1</v>
      </c>
      <c r="G50" s="258">
        <v>2</v>
      </c>
      <c r="H50" s="258">
        <v>0</v>
      </c>
      <c r="I50" s="258">
        <v>0</v>
      </c>
      <c r="J50" s="258">
        <v>0</v>
      </c>
      <c r="K50" s="258">
        <v>2</v>
      </c>
      <c r="L50" s="258">
        <v>0</v>
      </c>
      <c r="M50" s="258">
        <v>2</v>
      </c>
      <c r="N50" s="258">
        <v>0</v>
      </c>
      <c r="O50" s="258">
        <v>0</v>
      </c>
      <c r="P50" s="258">
        <f>SUM(D50:O50)</f>
        <v>16</v>
      </c>
      <c r="Q50" s="150" t="str">
        <f>Master!AF52</f>
        <v>SOMALIA</v>
      </c>
      <c r="R50" s="263"/>
      <c r="S50" s="263"/>
      <c r="T50" s="263"/>
    </row>
    <row r="51" spans="2:20" ht="15.75" thickBot="1" x14ac:dyDescent="0.3">
      <c r="B51" s="150" t="str">
        <f>Master!AF53</f>
        <v>SPAIN</v>
      </c>
      <c r="C51" s="149" t="str">
        <f>Master!AG53</f>
        <v>ES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f>SUM(D51:O51)</f>
        <v>0</v>
      </c>
      <c r="Q51" s="150" t="str">
        <f>Master!AF53</f>
        <v>SPAIN</v>
      </c>
      <c r="R51" s="263"/>
      <c r="S51" s="263"/>
      <c r="T51" s="263"/>
    </row>
    <row r="52" spans="2:20" ht="15.75" thickBot="1" x14ac:dyDescent="0.3">
      <c r="B52" s="150" t="str">
        <f>Master!AF54</f>
        <v>SOUTH SUDAN</v>
      </c>
      <c r="C52" s="149" t="str">
        <f>Master!AG54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>SUM(D52:O52)</f>
        <v>0</v>
      </c>
      <c r="Q52" s="150" t="str">
        <f>Master!AF54</f>
        <v>SOUTH SUDAN</v>
      </c>
      <c r="R52" s="263"/>
      <c r="S52" s="263"/>
      <c r="T52" s="263"/>
    </row>
    <row r="53" spans="2:20" ht="15.75" thickBot="1" x14ac:dyDescent="0.3">
      <c r="B53" s="150" t="str">
        <f>Master!AF55</f>
        <v>SRI LANKA</v>
      </c>
      <c r="C53" s="149" t="str">
        <f>Master!AG55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>SUM(D53:O53)</f>
        <v>0</v>
      </c>
      <c r="Q53" s="150" t="str">
        <f>Master!AF55</f>
        <v>SRI LANKA</v>
      </c>
      <c r="R53" s="263"/>
      <c r="S53" s="263"/>
      <c r="T53" s="263"/>
    </row>
    <row r="54" spans="2:20" ht="15.75" thickBot="1" x14ac:dyDescent="0.3">
      <c r="B54" s="150" t="str">
        <f>Master!AF56</f>
        <v>SUDAN</v>
      </c>
      <c r="C54" s="149" t="str">
        <f>Master!AG56</f>
        <v>SU</v>
      </c>
      <c r="D54" s="258">
        <v>0</v>
      </c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0</v>
      </c>
      <c r="K54" s="258">
        <v>3</v>
      </c>
      <c r="L54" s="258">
        <v>0</v>
      </c>
      <c r="M54" s="258">
        <v>0</v>
      </c>
      <c r="N54" s="258">
        <v>0</v>
      </c>
      <c r="O54" s="258">
        <v>0</v>
      </c>
      <c r="P54" s="258">
        <f>SUM(D54:O54)</f>
        <v>3</v>
      </c>
      <c r="Q54" s="150" t="str">
        <f>Master!AF56</f>
        <v>SUDAN</v>
      </c>
      <c r="R54" s="263"/>
      <c r="S54" s="263"/>
      <c r="T54" s="263"/>
    </row>
    <row r="55" spans="2:20" ht="15.75" thickBot="1" x14ac:dyDescent="0.3">
      <c r="B55" s="150" t="str">
        <f>Master!AF57</f>
        <v>SYRIA</v>
      </c>
      <c r="C55" s="149" t="str">
        <f>Master!AG57</f>
        <v>SY</v>
      </c>
      <c r="D55" s="258">
        <v>9</v>
      </c>
      <c r="E55" s="258">
        <v>9</v>
      </c>
      <c r="F55" s="258">
        <v>4</v>
      </c>
      <c r="G55" s="258">
        <v>21</v>
      </c>
      <c r="H55" s="258">
        <v>6</v>
      </c>
      <c r="I55" s="258">
        <v>0</v>
      </c>
      <c r="J55" s="258">
        <v>2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f>SUM(D55:O55)</f>
        <v>51</v>
      </c>
      <c r="Q55" s="150" t="str">
        <f>Master!AF57</f>
        <v>SYRIA</v>
      </c>
      <c r="R55" s="263"/>
      <c r="S55" s="263"/>
      <c r="T55" s="263"/>
    </row>
    <row r="56" spans="2:20" ht="15.75" thickBot="1" x14ac:dyDescent="0.3">
      <c r="B56" s="150" t="str">
        <f>Master!AF58</f>
        <v>TAJIKISTAN</v>
      </c>
      <c r="C56" s="149" t="str">
        <f>Master!AG58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>SUM(D56:O56)</f>
        <v>0</v>
      </c>
      <c r="Q56" s="150" t="str">
        <f>Master!AF58</f>
        <v>TAJIKISTAN</v>
      </c>
      <c r="R56" s="263"/>
      <c r="S56" s="263"/>
      <c r="T56" s="263"/>
    </row>
    <row r="57" spans="2:20" ht="15.75" thickBot="1" x14ac:dyDescent="0.3">
      <c r="B57" s="150" t="str">
        <f>Master!AF59</f>
        <v>TANZANIA</v>
      </c>
      <c r="C57" s="149" t="str">
        <f>Master!AG59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>SUM(D57:O57)</f>
        <v>0</v>
      </c>
      <c r="Q57" s="150" t="str">
        <f>Master!AF59</f>
        <v>TANZANIA</v>
      </c>
      <c r="R57" s="263"/>
      <c r="S57" s="263"/>
      <c r="T57" s="263"/>
    </row>
    <row r="58" spans="2:20" ht="15.75" thickBot="1" x14ac:dyDescent="0.3">
      <c r="B58" s="150" t="str">
        <f>Master!AF60</f>
        <v>THAILAND</v>
      </c>
      <c r="C58" s="149" t="str">
        <f>Master!AG60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>SUM(D58:O58)</f>
        <v>0</v>
      </c>
      <c r="Q58" s="150" t="str">
        <f>Master!AF60</f>
        <v>THAILAND</v>
      </c>
      <c r="R58" s="263"/>
      <c r="S58" s="263"/>
      <c r="T58" s="263"/>
    </row>
    <row r="59" spans="2:20" ht="15.75" thickBot="1" x14ac:dyDescent="0.3">
      <c r="B59" s="150" t="str">
        <f>Master!AF61</f>
        <v>UGANDA</v>
      </c>
      <c r="C59" s="149" t="str">
        <f>Master!AG61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>SUM(D59:O59)</f>
        <v>0</v>
      </c>
      <c r="Q59" s="150" t="str">
        <f>Master!AF61</f>
        <v>UGANDA</v>
      </c>
      <c r="R59" s="263"/>
      <c r="S59" s="263"/>
      <c r="T59" s="263"/>
    </row>
    <row r="60" spans="2:20" ht="15.75" thickBot="1" x14ac:dyDescent="0.3">
      <c r="B60" s="150" t="str">
        <f>Master!AF62</f>
        <v>UKRAINE</v>
      </c>
      <c r="C60" s="149" t="str">
        <f>Master!AG62</f>
        <v>UP</v>
      </c>
      <c r="D60" s="258">
        <v>0</v>
      </c>
      <c r="E60" s="258">
        <v>0</v>
      </c>
      <c r="F60" s="258">
        <v>0</v>
      </c>
      <c r="G60" s="258">
        <v>0</v>
      </c>
      <c r="H60" s="258">
        <v>0</v>
      </c>
      <c r="I60" s="258">
        <v>0</v>
      </c>
      <c r="J60" s="258">
        <v>0</v>
      </c>
      <c r="K60" s="258">
        <v>2</v>
      </c>
      <c r="L60" s="258">
        <v>0</v>
      </c>
      <c r="M60" s="258">
        <v>0</v>
      </c>
      <c r="N60" s="258">
        <v>0</v>
      </c>
      <c r="O60" s="258">
        <v>0</v>
      </c>
      <c r="P60" s="258">
        <f>SUM(D60:O60)</f>
        <v>2</v>
      </c>
      <c r="Q60" s="150" t="str">
        <f>Master!AF62</f>
        <v>UKRAINE</v>
      </c>
      <c r="R60" s="263"/>
      <c r="S60" s="263"/>
      <c r="T60" s="263"/>
    </row>
    <row r="61" spans="2:20" ht="15.75" thickBot="1" x14ac:dyDescent="0.3">
      <c r="B61" s="150" t="str">
        <f>Master!AF63</f>
        <v>UZBEKISTAN</v>
      </c>
      <c r="C61" s="149" t="str">
        <f>Master!AG63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>SUM(D61:O61)</f>
        <v>0</v>
      </c>
      <c r="Q61" s="150" t="str">
        <f>Master!AF63</f>
        <v>UZBEKISTAN</v>
      </c>
      <c r="R61" s="263"/>
      <c r="S61" s="263"/>
      <c r="T61" s="263"/>
    </row>
    <row r="62" spans="2:20" ht="15.75" thickBot="1" x14ac:dyDescent="0.3">
      <c r="B62" s="150" t="str">
        <f>Master!AF64</f>
        <v>VIETNAM</v>
      </c>
      <c r="C62" s="149" t="str">
        <f>Master!AG64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0</v>
      </c>
      <c r="P62" s="258">
        <f>SUM(D62:O62)</f>
        <v>0</v>
      </c>
      <c r="Q62" s="150" t="str">
        <f>Master!AF64</f>
        <v>VIETNAM</v>
      </c>
      <c r="R62" s="263"/>
      <c r="S62" s="263"/>
      <c r="T62" s="263"/>
    </row>
    <row r="63" spans="2:20" ht="13.5" customHeight="1" thickBot="1" x14ac:dyDescent="0.3">
      <c r="B63" s="150" t="str">
        <f>Master!AF65</f>
        <v>ZAMBIA</v>
      </c>
      <c r="C63" s="149" t="str">
        <f>Master!AG65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>SUM(D63:O63)</f>
        <v>0</v>
      </c>
      <c r="Q63" s="150" t="str">
        <f>Master!AF65</f>
        <v>ZAMBIA</v>
      </c>
      <c r="R63" s="263"/>
      <c r="S63" s="263"/>
      <c r="T63" s="263"/>
    </row>
    <row r="64" spans="2:20" ht="15.75" thickBot="1" x14ac:dyDescent="0.3">
      <c r="B64" s="150"/>
      <c r="C64" s="149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>
        <f>SUM(D64:O64)</f>
        <v>0</v>
      </c>
      <c r="Q64" s="150"/>
      <c r="R64" s="263"/>
      <c r="S64" s="263"/>
      <c r="T64" s="263"/>
    </row>
    <row r="65" spans="2:20" ht="15.75" thickBot="1" x14ac:dyDescent="0.3">
      <c r="B65" s="354" t="s">
        <v>53</v>
      </c>
      <c r="C65" s="355"/>
      <c r="D65" s="249">
        <f>SUM(D5:D64)</f>
        <v>33</v>
      </c>
      <c r="E65" s="249">
        <f>SUM(E5:E64)</f>
        <v>43</v>
      </c>
      <c r="F65" s="249">
        <v>12</v>
      </c>
      <c r="G65" s="249">
        <v>25</v>
      </c>
      <c r="H65" s="249">
        <v>14</v>
      </c>
      <c r="I65" s="249">
        <v>1</v>
      </c>
      <c r="J65" s="249">
        <v>2</v>
      </c>
      <c r="K65" s="249">
        <f>SUM(K5:K64)</f>
        <v>12</v>
      </c>
      <c r="L65" s="249">
        <v>15</v>
      </c>
      <c r="M65" s="249">
        <v>2</v>
      </c>
      <c r="N65" s="249">
        <v>0</v>
      </c>
      <c r="O65" s="249">
        <v>4</v>
      </c>
      <c r="P65" s="249">
        <f>SUM(D65:O65)</f>
        <v>163</v>
      </c>
      <c r="Q65" s="240" t="s">
        <v>53</v>
      </c>
      <c r="R65" s="263"/>
      <c r="S65" s="263"/>
      <c r="T65" s="263"/>
    </row>
    <row r="66" spans="2:20" ht="15.75" thickBot="1" x14ac:dyDescent="0.3"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</row>
    <row r="67" spans="2:20" ht="15.75" thickBot="1" x14ac:dyDescent="0.3">
      <c r="B67" s="237" t="s">
        <v>5</v>
      </c>
      <c r="C67" s="255" t="s">
        <v>4</v>
      </c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6"/>
      <c r="R67" s="263"/>
      <c r="S67" s="263"/>
      <c r="T67" s="263"/>
    </row>
    <row r="68" spans="2:20" ht="15.75" thickBot="1" x14ac:dyDescent="0.3">
      <c r="B68" s="348"/>
      <c r="C68" s="349"/>
      <c r="D68" s="149" t="s">
        <v>19</v>
      </c>
      <c r="E68" s="149" t="s">
        <v>20</v>
      </c>
      <c r="F68" s="149" t="s">
        <v>21</v>
      </c>
      <c r="G68" s="149" t="s">
        <v>22</v>
      </c>
      <c r="H68" s="149" t="s">
        <v>23</v>
      </c>
      <c r="I68" s="149" t="s">
        <v>24</v>
      </c>
      <c r="J68" s="149" t="s">
        <v>25</v>
      </c>
      <c r="K68" s="149" t="s">
        <v>26</v>
      </c>
      <c r="L68" s="149" t="s">
        <v>27</v>
      </c>
      <c r="M68" s="149" t="s">
        <v>28</v>
      </c>
      <c r="N68" s="149" t="s">
        <v>29</v>
      </c>
      <c r="O68" s="149"/>
      <c r="P68" s="359" t="s">
        <v>40</v>
      </c>
      <c r="Q68" s="352"/>
      <c r="R68" s="263"/>
      <c r="S68" s="263"/>
      <c r="T68" s="263"/>
    </row>
    <row r="69" spans="2:20" ht="15.75" thickBot="1" x14ac:dyDescent="0.3">
      <c r="B69" s="350"/>
      <c r="C69" s="351"/>
      <c r="D69" s="67">
        <v>10</v>
      </c>
      <c r="E69" s="67">
        <v>11</v>
      </c>
      <c r="F69" s="67">
        <v>12</v>
      </c>
      <c r="G69" s="67">
        <v>1</v>
      </c>
      <c r="H69" s="67">
        <v>2</v>
      </c>
      <c r="I69" s="67">
        <v>3</v>
      </c>
      <c r="J69" s="67">
        <v>4</v>
      </c>
      <c r="K69" s="67">
        <v>5</v>
      </c>
      <c r="L69" s="67">
        <v>6</v>
      </c>
      <c r="M69" s="67">
        <v>7</v>
      </c>
      <c r="N69" s="67">
        <v>8</v>
      </c>
      <c r="O69" s="67"/>
      <c r="P69" s="360"/>
      <c r="Q69" s="353"/>
      <c r="R69" s="263"/>
      <c r="S69" s="263"/>
      <c r="T69" s="263"/>
    </row>
    <row r="70" spans="2:20" ht="15.75" thickBot="1" x14ac:dyDescent="0.3">
      <c r="B70" s="150" t="str">
        <f>Master!AF7</f>
        <v>AFGHANISTAN</v>
      </c>
      <c r="C70" s="149" t="str">
        <f>Master!AG7</f>
        <v>AF</v>
      </c>
      <c r="D70" s="258">
        <v>0</v>
      </c>
      <c r="E70" s="258">
        <v>0</v>
      </c>
      <c r="F70" s="258">
        <v>0</v>
      </c>
      <c r="G70" s="258">
        <v>0</v>
      </c>
      <c r="H70" s="258">
        <v>0</v>
      </c>
      <c r="I70" s="258">
        <v>0</v>
      </c>
      <c r="J70" s="258">
        <v>0</v>
      </c>
      <c r="K70" s="258">
        <v>1</v>
      </c>
      <c r="L70" s="258">
        <v>0</v>
      </c>
      <c r="M70" s="258">
        <v>0</v>
      </c>
      <c r="N70" s="258">
        <v>0</v>
      </c>
      <c r="O70" s="258">
        <v>0</v>
      </c>
      <c r="P70" s="258">
        <f>SUM(D70:O70)</f>
        <v>1</v>
      </c>
      <c r="Q70" s="150" t="str">
        <f>Master!AF7</f>
        <v>AFGHANISTAN</v>
      </c>
      <c r="R70" s="263"/>
      <c r="S70" s="263"/>
      <c r="T70" s="263"/>
    </row>
    <row r="71" spans="2:20" ht="15.75" thickBot="1" x14ac:dyDescent="0.3">
      <c r="B71" s="150" t="str">
        <f>Master!AF8</f>
        <v>ARMENIA</v>
      </c>
      <c r="C71" s="149" t="str">
        <f>Master!AG8</f>
        <v>AM</v>
      </c>
      <c r="D71" s="258">
        <v>0</v>
      </c>
      <c r="E71" s="258">
        <v>0</v>
      </c>
      <c r="F71" s="258">
        <v>0</v>
      </c>
      <c r="G71" s="258">
        <v>0</v>
      </c>
      <c r="H71" s="258">
        <v>0</v>
      </c>
      <c r="I71" s="258">
        <v>0</v>
      </c>
      <c r="J71" s="258">
        <v>0</v>
      </c>
      <c r="K71" s="258">
        <v>0</v>
      </c>
      <c r="L71" s="258">
        <v>0</v>
      </c>
      <c r="M71" s="258">
        <v>0</v>
      </c>
      <c r="N71" s="258">
        <v>0</v>
      </c>
      <c r="O71" s="258">
        <v>0</v>
      </c>
      <c r="P71" s="258">
        <f t="shared" ref="P71" si="1">SUM(D71:O71)</f>
        <v>0</v>
      </c>
      <c r="Q71" s="150" t="str">
        <f>Master!AF8</f>
        <v>ARMENIA</v>
      </c>
      <c r="R71" s="263"/>
      <c r="S71" s="263"/>
      <c r="T71" s="263"/>
    </row>
    <row r="72" spans="2:20" ht="15.75" thickBot="1" x14ac:dyDescent="0.3">
      <c r="B72" s="150" t="s">
        <v>780</v>
      </c>
      <c r="C72" s="149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>
        <v>0</v>
      </c>
      <c r="P72" s="258"/>
      <c r="Q72" s="150" t="s">
        <v>780</v>
      </c>
    </row>
    <row r="73" spans="2:20" ht="15.75" thickBot="1" x14ac:dyDescent="0.3">
      <c r="B73" s="150" t="str">
        <f>Master!AF10</f>
        <v>BELARUS</v>
      </c>
      <c r="C73" s="149" t="str">
        <f>Master!AG10</f>
        <v>BO</v>
      </c>
      <c r="D73" s="258">
        <v>0</v>
      </c>
      <c r="E73" s="258">
        <v>0</v>
      </c>
      <c r="F73" s="258">
        <v>0</v>
      </c>
      <c r="G73" s="258">
        <v>0</v>
      </c>
      <c r="H73" s="258">
        <v>0</v>
      </c>
      <c r="I73" s="258">
        <v>0</v>
      </c>
      <c r="J73" s="258">
        <v>0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f>SUM(D73:O73)</f>
        <v>0</v>
      </c>
      <c r="Q73" s="150" t="str">
        <f>Master!AF10</f>
        <v>BELARUS</v>
      </c>
      <c r="R73" s="263"/>
      <c r="S73" s="263"/>
      <c r="T73" s="263"/>
    </row>
    <row r="74" spans="2:20" ht="15.75" thickBot="1" x14ac:dyDescent="0.3">
      <c r="B74" s="150" t="str">
        <f>Master!AF11</f>
        <v>BURMA</v>
      </c>
      <c r="C74" s="149" t="str">
        <f>Master!AG11</f>
        <v>BM</v>
      </c>
      <c r="D74" s="258">
        <v>0</v>
      </c>
      <c r="E74" s="258">
        <v>0</v>
      </c>
      <c r="F74" s="258">
        <v>0</v>
      </c>
      <c r="G74" s="258">
        <v>0</v>
      </c>
      <c r="H74" s="258">
        <v>0</v>
      </c>
      <c r="I74" s="258">
        <v>0</v>
      </c>
      <c r="J74" s="258">
        <v>0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f>SUM(D74:O74)</f>
        <v>0</v>
      </c>
      <c r="Q74" s="150" t="str">
        <f>Master!AF11</f>
        <v>BURMA</v>
      </c>
      <c r="R74" s="263"/>
      <c r="S74" s="263"/>
      <c r="T74" s="263"/>
    </row>
    <row r="75" spans="2:20" ht="15.75" thickBot="1" x14ac:dyDescent="0.3">
      <c r="B75" s="150" t="str">
        <f>Master!AF12</f>
        <v>BHUTAN</v>
      </c>
      <c r="C75" s="149" t="str">
        <f>Master!AG12</f>
        <v>BT</v>
      </c>
      <c r="D75" s="258">
        <v>0</v>
      </c>
      <c r="E75" s="258">
        <v>2</v>
      </c>
      <c r="F75" s="258">
        <v>14</v>
      </c>
      <c r="G75" s="258">
        <v>1</v>
      </c>
      <c r="H75" s="258">
        <v>1</v>
      </c>
      <c r="I75" s="258">
        <v>0</v>
      </c>
      <c r="J75" s="258">
        <v>0</v>
      </c>
      <c r="K75" s="258">
        <v>4</v>
      </c>
      <c r="L75" s="258">
        <v>3</v>
      </c>
      <c r="M75" s="258">
        <v>0</v>
      </c>
      <c r="N75" s="258">
        <v>0</v>
      </c>
      <c r="O75" s="258">
        <v>8</v>
      </c>
      <c r="P75" s="258">
        <f>SUM(D75:O75)</f>
        <v>33</v>
      </c>
      <c r="Q75" s="150" t="str">
        <f>Master!AF12</f>
        <v>BHUTAN</v>
      </c>
      <c r="R75" s="263"/>
      <c r="S75" s="263"/>
      <c r="T75" s="263"/>
    </row>
    <row r="76" spans="2:20" ht="15.75" thickBot="1" x14ac:dyDescent="0.3">
      <c r="B76" s="150" t="s">
        <v>779</v>
      </c>
      <c r="C76" s="149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>
        <v>0</v>
      </c>
      <c r="P76" s="258"/>
      <c r="Q76" s="150" t="s">
        <v>779</v>
      </c>
    </row>
    <row r="77" spans="2:20" ht="15.75" thickBot="1" x14ac:dyDescent="0.3">
      <c r="B77" s="150" t="str">
        <f>Master!AF14</f>
        <v>BURUNDI</v>
      </c>
      <c r="C77" s="149" t="str">
        <f>Master!AG14</f>
        <v>BY</v>
      </c>
      <c r="D77" s="258">
        <v>0</v>
      </c>
      <c r="E77" s="258">
        <v>0</v>
      </c>
      <c r="F77" s="258">
        <v>0</v>
      </c>
      <c r="G77" s="258">
        <v>0</v>
      </c>
      <c r="H77" s="258">
        <v>0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8">
        <v>0</v>
      </c>
      <c r="O77" s="258">
        <v>0</v>
      </c>
      <c r="P77" s="258">
        <f>SUM(D77:O77)</f>
        <v>0</v>
      </c>
      <c r="Q77" s="150" t="str">
        <f>Master!AF14</f>
        <v>BURUNDI</v>
      </c>
      <c r="R77" s="263"/>
      <c r="S77" s="263"/>
      <c r="T77" s="263"/>
    </row>
    <row r="78" spans="2:20" ht="15.75" thickBot="1" x14ac:dyDescent="0.3">
      <c r="B78" s="150" t="str">
        <f>Master!AF15</f>
        <v>CAMEROUN</v>
      </c>
      <c r="C78" s="149" t="str">
        <f>Master!AG15</f>
        <v>CM</v>
      </c>
      <c r="D78" s="258">
        <v>0</v>
      </c>
      <c r="E78" s="258">
        <v>0</v>
      </c>
      <c r="F78" s="258">
        <v>0</v>
      </c>
      <c r="G78" s="258">
        <v>0</v>
      </c>
      <c r="H78" s="258">
        <v>0</v>
      </c>
      <c r="I78" s="258">
        <v>0</v>
      </c>
      <c r="J78" s="258">
        <v>0</v>
      </c>
      <c r="K78" s="258">
        <v>0</v>
      </c>
      <c r="L78" s="258">
        <v>0</v>
      </c>
      <c r="M78" s="258">
        <v>0</v>
      </c>
      <c r="N78" s="258">
        <v>0</v>
      </c>
      <c r="O78" s="258">
        <v>0</v>
      </c>
      <c r="P78" s="258">
        <f>SUM(D78:O78)</f>
        <v>0</v>
      </c>
      <c r="Q78" s="150" t="str">
        <f>Master!AF15</f>
        <v>CAMEROUN</v>
      </c>
      <c r="R78" s="263"/>
      <c r="S78" s="263"/>
      <c r="T78" s="263"/>
    </row>
    <row r="79" spans="2:20" ht="15.75" thickBot="1" x14ac:dyDescent="0.3">
      <c r="B79" s="150" t="str">
        <f>Master!AF16</f>
        <v>CENTRAL AFR REP</v>
      </c>
      <c r="C79" s="149" t="str">
        <f>Master!AG16</f>
        <v>CT</v>
      </c>
      <c r="D79" s="258">
        <v>0</v>
      </c>
      <c r="E79" s="258">
        <v>0</v>
      </c>
      <c r="F79" s="258">
        <v>0</v>
      </c>
      <c r="G79" s="258">
        <v>0</v>
      </c>
      <c r="H79" s="258">
        <v>0</v>
      </c>
      <c r="I79" s="258">
        <v>0</v>
      </c>
      <c r="J79" s="258">
        <v>0</v>
      </c>
      <c r="K79" s="258">
        <v>0</v>
      </c>
      <c r="L79" s="258">
        <v>1</v>
      </c>
      <c r="M79" s="258">
        <v>0</v>
      </c>
      <c r="N79" s="258">
        <v>0</v>
      </c>
      <c r="O79" s="258">
        <v>0</v>
      </c>
      <c r="P79" s="258">
        <f>SUM(D79:O79)</f>
        <v>1</v>
      </c>
      <c r="Q79" s="150" t="str">
        <f>Master!AF16</f>
        <v>CENTRAL AFR REP</v>
      </c>
      <c r="R79" s="263"/>
      <c r="S79" s="263"/>
      <c r="T79" s="263"/>
    </row>
    <row r="80" spans="2:20" ht="15.75" thickBot="1" x14ac:dyDescent="0.3">
      <c r="B80" s="150" t="str">
        <f>Master!AF17</f>
        <v>CHINA</v>
      </c>
      <c r="C80" s="149" t="str">
        <f>Master!AG17</f>
        <v>CH</v>
      </c>
      <c r="D80" s="258">
        <v>0</v>
      </c>
      <c r="E80" s="258">
        <v>0</v>
      </c>
      <c r="F80" s="258">
        <v>0</v>
      </c>
      <c r="G80" s="258">
        <v>0</v>
      </c>
      <c r="H80" s="258">
        <v>0</v>
      </c>
      <c r="I80" s="258">
        <v>0</v>
      </c>
      <c r="J80" s="258">
        <v>0</v>
      </c>
      <c r="K80" s="258">
        <v>0</v>
      </c>
      <c r="L80" s="258">
        <v>0</v>
      </c>
      <c r="M80" s="258">
        <v>0</v>
      </c>
      <c r="N80" s="258">
        <v>0</v>
      </c>
      <c r="O80" s="258">
        <v>0</v>
      </c>
      <c r="P80" s="258">
        <f>SUM(D80:O80)</f>
        <v>0</v>
      </c>
      <c r="Q80" s="150" t="str">
        <f>Master!AF17</f>
        <v>CHINA</v>
      </c>
      <c r="R80" s="263"/>
      <c r="S80" s="263"/>
      <c r="T80" s="263"/>
    </row>
    <row r="81" spans="2:20" ht="15.75" thickBot="1" x14ac:dyDescent="0.3">
      <c r="B81" s="150" t="str">
        <f>Master!AF18</f>
        <v>DEM REP OF CONGO</v>
      </c>
      <c r="C81" s="149" t="str">
        <f>Master!AG18</f>
        <v>CG</v>
      </c>
      <c r="D81" s="258">
        <v>7</v>
      </c>
      <c r="E81" s="258">
        <v>20</v>
      </c>
      <c r="F81" s="258">
        <v>8</v>
      </c>
      <c r="G81" s="258">
        <v>0</v>
      </c>
      <c r="H81" s="258">
        <v>0</v>
      </c>
      <c r="I81" s="258">
        <v>0</v>
      </c>
      <c r="J81" s="258">
        <v>8</v>
      </c>
      <c r="K81" s="258">
        <v>0</v>
      </c>
      <c r="L81" s="258">
        <v>5</v>
      </c>
      <c r="M81" s="258">
        <v>0</v>
      </c>
      <c r="N81" s="258">
        <v>0</v>
      </c>
      <c r="O81" s="258">
        <v>6</v>
      </c>
      <c r="P81" s="258">
        <f>SUM(D81:O81)</f>
        <v>54</v>
      </c>
      <c r="Q81" s="150" t="str">
        <f>Master!AF18</f>
        <v>DEM REP OF CONGO</v>
      </c>
      <c r="R81" s="263"/>
      <c r="S81" s="263"/>
      <c r="T81" s="263"/>
    </row>
    <row r="82" spans="2:20" ht="15.75" thickBot="1" x14ac:dyDescent="0.3">
      <c r="B82" s="150" t="str">
        <f>Master!AF19</f>
        <v>COLUMBIA</v>
      </c>
      <c r="C82" s="149" t="str">
        <f>Master!AG19</f>
        <v>CO</v>
      </c>
      <c r="D82" s="258">
        <v>0</v>
      </c>
      <c r="E82" s="258">
        <v>0</v>
      </c>
      <c r="F82" s="258">
        <v>0</v>
      </c>
      <c r="G82" s="258">
        <v>0</v>
      </c>
      <c r="H82" s="258">
        <v>0</v>
      </c>
      <c r="I82" s="258">
        <v>0</v>
      </c>
      <c r="J82" s="258">
        <v>0</v>
      </c>
      <c r="K82" s="258">
        <v>0</v>
      </c>
      <c r="L82" s="258">
        <v>0</v>
      </c>
      <c r="M82" s="258">
        <v>0</v>
      </c>
      <c r="N82" s="258">
        <v>0</v>
      </c>
      <c r="O82" s="258">
        <v>0</v>
      </c>
      <c r="P82" s="258">
        <f>SUM(D82:O82)</f>
        <v>0</v>
      </c>
      <c r="Q82" s="150" t="str">
        <f>Master!AF19</f>
        <v>COLUMBIA</v>
      </c>
      <c r="R82" s="263"/>
      <c r="S82" s="263"/>
      <c r="T82" s="263"/>
    </row>
    <row r="83" spans="2:20" ht="15.75" thickBot="1" x14ac:dyDescent="0.3">
      <c r="B83" s="150" t="str">
        <f>Master!AF20</f>
        <v>CONGO</v>
      </c>
      <c r="C83" s="149" t="str">
        <f>Master!AG20</f>
        <v>CF</v>
      </c>
      <c r="D83" s="258">
        <v>0</v>
      </c>
      <c r="E83" s="258">
        <v>0</v>
      </c>
      <c r="F83" s="258">
        <v>0</v>
      </c>
      <c r="G83" s="258">
        <v>0</v>
      </c>
      <c r="H83" s="258">
        <v>0</v>
      </c>
      <c r="I83" s="258">
        <v>0</v>
      </c>
      <c r="J83" s="258">
        <v>0</v>
      </c>
      <c r="K83" s="258">
        <v>0</v>
      </c>
      <c r="L83" s="258">
        <v>0</v>
      </c>
      <c r="M83" s="258">
        <v>0</v>
      </c>
      <c r="N83" s="258">
        <v>0</v>
      </c>
      <c r="O83" s="258">
        <v>0</v>
      </c>
      <c r="P83" s="258">
        <f>SUM(D83:O83)</f>
        <v>0</v>
      </c>
      <c r="Q83" s="150" t="str">
        <f>Master!AF20</f>
        <v>CONGO</v>
      </c>
      <c r="R83" s="263"/>
      <c r="S83" s="263"/>
      <c r="T83" s="263"/>
    </row>
    <row r="84" spans="2:20" ht="15.75" thickBot="1" x14ac:dyDescent="0.3">
      <c r="B84" s="150" t="str">
        <f>Master!AF21</f>
        <v>CUBA</v>
      </c>
      <c r="C84" s="149" t="str">
        <f>Master!AG21</f>
        <v>CU</v>
      </c>
      <c r="D84" s="258">
        <v>0</v>
      </c>
      <c r="E84" s="258">
        <v>0</v>
      </c>
      <c r="F84" s="258">
        <v>0</v>
      </c>
      <c r="G84" s="258">
        <v>0</v>
      </c>
      <c r="H84" s="258">
        <v>0</v>
      </c>
      <c r="I84" s="258">
        <v>0</v>
      </c>
      <c r="J84" s="258">
        <v>0</v>
      </c>
      <c r="K84" s="258">
        <v>0</v>
      </c>
      <c r="L84" s="258">
        <v>0</v>
      </c>
      <c r="M84" s="258">
        <v>0</v>
      </c>
      <c r="N84" s="258">
        <v>0</v>
      </c>
      <c r="O84" s="258">
        <v>0</v>
      </c>
      <c r="P84" s="258">
        <f>SUM(D84:O84)</f>
        <v>0</v>
      </c>
      <c r="Q84" s="150" t="str">
        <f>Master!AF21</f>
        <v>CUBA</v>
      </c>
      <c r="R84" s="263"/>
      <c r="S84" s="263"/>
      <c r="T84" s="263"/>
    </row>
    <row r="85" spans="2:20" ht="15.75" thickBot="1" x14ac:dyDescent="0.3">
      <c r="B85" s="150" t="str">
        <f>Master!AF22</f>
        <v>CUBAN ENTRANT</v>
      </c>
      <c r="C85" s="149" t="str">
        <f>Master!AG22</f>
        <v>CUE</v>
      </c>
      <c r="D85" s="258">
        <v>0</v>
      </c>
      <c r="E85" s="258">
        <v>0</v>
      </c>
      <c r="F85" s="258">
        <v>0</v>
      </c>
      <c r="G85" s="258">
        <v>0</v>
      </c>
      <c r="H85" s="258">
        <v>0</v>
      </c>
      <c r="I85" s="258">
        <v>0</v>
      </c>
      <c r="J85" s="258">
        <v>0</v>
      </c>
      <c r="K85" s="258">
        <v>0</v>
      </c>
      <c r="L85" s="258">
        <v>0</v>
      </c>
      <c r="M85" s="258">
        <v>0</v>
      </c>
      <c r="N85" s="258">
        <v>0</v>
      </c>
      <c r="O85" s="258">
        <v>0</v>
      </c>
      <c r="P85" s="258">
        <f>SUM(D85:O85)</f>
        <v>0</v>
      </c>
      <c r="Q85" s="150" t="str">
        <f>Master!AF22</f>
        <v>CUBAN ENTRANT</v>
      </c>
      <c r="R85" s="263"/>
      <c r="S85" s="263"/>
      <c r="T85" s="263"/>
    </row>
    <row r="86" spans="2:20" ht="15.75" thickBot="1" x14ac:dyDescent="0.3">
      <c r="B86" s="150" t="str">
        <f>Master!AF23</f>
        <v>ECUADOR</v>
      </c>
      <c r="C86" s="149" t="str">
        <f>Master!AG23</f>
        <v>EC</v>
      </c>
      <c r="D86" s="258">
        <v>0</v>
      </c>
      <c r="E86" s="258">
        <v>0</v>
      </c>
      <c r="F86" s="258">
        <v>0</v>
      </c>
      <c r="G86" s="258">
        <v>0</v>
      </c>
      <c r="H86" s="258">
        <v>0</v>
      </c>
      <c r="I86" s="258">
        <v>0</v>
      </c>
      <c r="J86" s="258">
        <v>0</v>
      </c>
      <c r="K86" s="258">
        <v>0</v>
      </c>
      <c r="L86" s="258">
        <v>0</v>
      </c>
      <c r="M86" s="258">
        <v>0</v>
      </c>
      <c r="N86" s="258">
        <v>0</v>
      </c>
      <c r="O86" s="258">
        <v>0</v>
      </c>
      <c r="P86" s="258">
        <f>SUM(D86:O86)</f>
        <v>0</v>
      </c>
      <c r="Q86" s="150" t="str">
        <f>Master!AF23</f>
        <v>ECUADOR</v>
      </c>
      <c r="R86" s="263"/>
      <c r="S86" s="263"/>
      <c r="T86" s="263"/>
    </row>
    <row r="87" spans="2:20" ht="15.75" thickBot="1" x14ac:dyDescent="0.3">
      <c r="B87" s="150" t="str">
        <f>Master!AF24</f>
        <v>EGYPT</v>
      </c>
      <c r="C87" s="149" t="str">
        <f>Master!AG24</f>
        <v>EG</v>
      </c>
      <c r="D87" s="258">
        <v>0</v>
      </c>
      <c r="E87" s="258">
        <v>0</v>
      </c>
      <c r="F87" s="258">
        <v>0</v>
      </c>
      <c r="G87" s="258">
        <v>0</v>
      </c>
      <c r="H87" s="258">
        <v>0</v>
      </c>
      <c r="I87" s="258">
        <v>0</v>
      </c>
      <c r="J87" s="258">
        <v>0</v>
      </c>
      <c r="K87" s="258">
        <v>0</v>
      </c>
      <c r="L87" s="258">
        <v>0</v>
      </c>
      <c r="M87" s="258">
        <v>0</v>
      </c>
      <c r="N87" s="258">
        <v>0</v>
      </c>
      <c r="O87" s="258">
        <v>0</v>
      </c>
      <c r="P87" s="258">
        <f>SUM(D87:O87)</f>
        <v>0</v>
      </c>
      <c r="Q87" s="150" t="str">
        <f>Master!AF24</f>
        <v>EGYPT</v>
      </c>
      <c r="R87" s="263"/>
      <c r="S87" s="263"/>
      <c r="T87" s="263"/>
    </row>
    <row r="88" spans="2:20" ht="15.75" thickBot="1" x14ac:dyDescent="0.3">
      <c r="B88" s="150" t="str">
        <f>Master!AF25</f>
        <v>ERITREA</v>
      </c>
      <c r="C88" s="149" t="str">
        <f>Master!AG25</f>
        <v>ER</v>
      </c>
      <c r="D88" s="258">
        <v>0</v>
      </c>
      <c r="E88" s="258">
        <v>0</v>
      </c>
      <c r="F88" s="258">
        <v>0</v>
      </c>
      <c r="G88" s="258">
        <v>0</v>
      </c>
      <c r="H88" s="258">
        <v>0</v>
      </c>
      <c r="I88" s="258">
        <v>0</v>
      </c>
      <c r="J88" s="258">
        <v>0</v>
      </c>
      <c r="K88" s="258">
        <v>0</v>
      </c>
      <c r="L88" s="258">
        <v>7</v>
      </c>
      <c r="M88" s="258">
        <v>0</v>
      </c>
      <c r="N88" s="258">
        <v>0</v>
      </c>
      <c r="O88" s="258">
        <v>0</v>
      </c>
      <c r="P88" s="258">
        <f>SUM(D88:O88)</f>
        <v>7</v>
      </c>
      <c r="Q88" s="150" t="str">
        <f>Master!AF25</f>
        <v>ERITREA</v>
      </c>
      <c r="R88" s="263"/>
      <c r="S88" s="263"/>
      <c r="T88" s="263"/>
    </row>
    <row r="89" spans="2:20" ht="15.75" thickBot="1" x14ac:dyDescent="0.3">
      <c r="B89" s="150" t="str">
        <f>Master!AF26</f>
        <v>ETHIOPIA</v>
      </c>
      <c r="C89" s="149" t="str">
        <f>Master!AG26</f>
        <v>ET</v>
      </c>
      <c r="D89" s="258">
        <v>2</v>
      </c>
      <c r="E89" s="258">
        <v>5</v>
      </c>
      <c r="F89" s="258">
        <v>0</v>
      </c>
      <c r="G89" s="258">
        <v>0</v>
      </c>
      <c r="H89" s="258">
        <v>0</v>
      </c>
      <c r="I89" s="258">
        <v>0</v>
      </c>
      <c r="J89" s="258">
        <v>0</v>
      </c>
      <c r="K89" s="258">
        <v>0</v>
      </c>
      <c r="L89" s="258">
        <v>1</v>
      </c>
      <c r="M89" s="258">
        <v>0</v>
      </c>
      <c r="N89" s="258">
        <v>0</v>
      </c>
      <c r="O89" s="258">
        <v>0</v>
      </c>
      <c r="P89" s="258">
        <f>SUM(D89:O89)</f>
        <v>8</v>
      </c>
      <c r="Q89" s="150" t="str">
        <f>Master!AF26</f>
        <v>ETHIOPIA</v>
      </c>
      <c r="R89" s="263"/>
      <c r="S89" s="263"/>
      <c r="T89" s="263"/>
    </row>
    <row r="90" spans="2:20" ht="15.75" thickBot="1" x14ac:dyDescent="0.3">
      <c r="B90" s="150" t="str">
        <f>Master!AF27</f>
        <v>FRANCE</v>
      </c>
      <c r="C90" s="149" t="str">
        <f>Master!AG27</f>
        <v>FR</v>
      </c>
      <c r="D90" s="258">
        <v>0</v>
      </c>
      <c r="E90" s="258">
        <v>0</v>
      </c>
      <c r="F90" s="258">
        <v>0</v>
      </c>
      <c r="G90" s="258">
        <v>0</v>
      </c>
      <c r="H90" s="258">
        <v>0</v>
      </c>
      <c r="I90" s="258">
        <v>0</v>
      </c>
      <c r="J90" s="258">
        <v>0</v>
      </c>
      <c r="K90" s="258">
        <v>0</v>
      </c>
      <c r="L90" s="258">
        <v>0</v>
      </c>
      <c r="M90" s="258">
        <v>0</v>
      </c>
      <c r="N90" s="258">
        <v>0</v>
      </c>
      <c r="O90" s="258">
        <v>0</v>
      </c>
      <c r="P90" s="258">
        <f>SUM(D90:O90)</f>
        <v>0</v>
      </c>
      <c r="Q90" s="150" t="str">
        <f>Master!AF27</f>
        <v>FRANCE</v>
      </c>
      <c r="R90" s="263"/>
      <c r="S90" s="263"/>
      <c r="T90" s="263"/>
    </row>
    <row r="91" spans="2:20" ht="15.75" thickBot="1" x14ac:dyDescent="0.3">
      <c r="B91" s="150" t="str">
        <f>Master!AF28</f>
        <v>GUINEA</v>
      </c>
      <c r="C91" s="149" t="str">
        <f>Master!AG28</f>
        <v>GV</v>
      </c>
      <c r="D91" s="258">
        <v>0</v>
      </c>
      <c r="E91" s="258">
        <v>0</v>
      </c>
      <c r="F91" s="258">
        <v>0</v>
      </c>
      <c r="G91" s="258">
        <v>0</v>
      </c>
      <c r="H91" s="258">
        <v>0</v>
      </c>
      <c r="I91" s="258">
        <v>0</v>
      </c>
      <c r="J91" s="258">
        <v>0</v>
      </c>
      <c r="K91" s="258">
        <v>0</v>
      </c>
      <c r="L91" s="258">
        <v>0</v>
      </c>
      <c r="M91" s="258">
        <v>0</v>
      </c>
      <c r="N91" s="258">
        <v>0</v>
      </c>
      <c r="O91" s="258">
        <v>0</v>
      </c>
      <c r="P91" s="258">
        <f>SUM(D91:O91)</f>
        <v>0</v>
      </c>
      <c r="Q91" s="150" t="str">
        <f>Master!AF28</f>
        <v>GUINEA</v>
      </c>
      <c r="R91" s="263"/>
      <c r="S91" s="263"/>
      <c r="T91" s="263"/>
    </row>
    <row r="92" spans="2:20" ht="15.75" thickBot="1" x14ac:dyDescent="0.3">
      <c r="B92" s="150" t="str">
        <f>Master!AF29</f>
        <v>HAITI</v>
      </c>
      <c r="C92" s="149" t="str">
        <f>Master!AG29</f>
        <v>HA</v>
      </c>
      <c r="D92" s="258">
        <v>0</v>
      </c>
      <c r="E92" s="258">
        <v>0</v>
      </c>
      <c r="F92" s="258">
        <v>0</v>
      </c>
      <c r="G92" s="258">
        <v>0</v>
      </c>
      <c r="H92" s="258">
        <v>0</v>
      </c>
      <c r="I92" s="258">
        <v>0</v>
      </c>
      <c r="J92" s="258">
        <v>0</v>
      </c>
      <c r="K92" s="258">
        <v>0</v>
      </c>
      <c r="L92" s="258">
        <v>0</v>
      </c>
      <c r="M92" s="258">
        <v>0</v>
      </c>
      <c r="N92" s="258">
        <v>0</v>
      </c>
      <c r="O92" s="258">
        <v>0</v>
      </c>
      <c r="P92" s="258">
        <f>SUM(D92:O92)</f>
        <v>0</v>
      </c>
      <c r="Q92" s="150" t="str">
        <f>Master!AF29</f>
        <v>HAITI</v>
      </c>
      <c r="R92" s="263"/>
      <c r="S92" s="263"/>
      <c r="T92" s="263"/>
    </row>
    <row r="93" spans="2:20" ht="15.75" thickBot="1" x14ac:dyDescent="0.3">
      <c r="B93" s="150" t="str">
        <f>Master!AF30</f>
        <v>INDIA</v>
      </c>
      <c r="C93" s="149" t="str">
        <f>Master!AG30</f>
        <v>IN</v>
      </c>
      <c r="D93" s="258">
        <v>0</v>
      </c>
      <c r="E93" s="258">
        <v>0</v>
      </c>
      <c r="F93" s="258">
        <v>0</v>
      </c>
      <c r="G93" s="258">
        <v>0</v>
      </c>
      <c r="H93" s="258">
        <v>0</v>
      </c>
      <c r="I93" s="258">
        <v>0</v>
      </c>
      <c r="J93" s="258">
        <v>0</v>
      </c>
      <c r="K93" s="258">
        <v>0</v>
      </c>
      <c r="L93" s="258">
        <v>0</v>
      </c>
      <c r="M93" s="258">
        <v>0</v>
      </c>
      <c r="N93" s="258">
        <v>0</v>
      </c>
      <c r="O93" s="258">
        <v>0</v>
      </c>
      <c r="P93" s="258">
        <f>SUM(D93:O93)</f>
        <v>0</v>
      </c>
      <c r="Q93" s="150" t="str">
        <f>Master!AF30</f>
        <v>INDIA</v>
      </c>
      <c r="R93" s="263"/>
      <c r="S93" s="263"/>
      <c r="T93" s="263"/>
    </row>
    <row r="94" spans="2:20" ht="15.75" thickBot="1" x14ac:dyDescent="0.3">
      <c r="B94" s="150" t="str">
        <f>Master!AF31</f>
        <v>INDONESIA</v>
      </c>
      <c r="C94" s="149" t="str">
        <f>Master!AG31</f>
        <v>ID</v>
      </c>
      <c r="D94" s="258">
        <v>0</v>
      </c>
      <c r="E94" s="258">
        <v>0</v>
      </c>
      <c r="F94" s="258">
        <v>0</v>
      </c>
      <c r="G94" s="258">
        <v>0</v>
      </c>
      <c r="H94" s="258">
        <v>0</v>
      </c>
      <c r="I94" s="258">
        <v>0</v>
      </c>
      <c r="J94" s="258">
        <v>0</v>
      </c>
      <c r="K94" s="258">
        <v>0</v>
      </c>
      <c r="L94" s="258">
        <v>0</v>
      </c>
      <c r="M94" s="258">
        <v>0</v>
      </c>
      <c r="N94" s="258">
        <v>0</v>
      </c>
      <c r="O94" s="258">
        <v>0</v>
      </c>
      <c r="P94" s="258">
        <f>SUM(D94:O94)</f>
        <v>0</v>
      </c>
      <c r="Q94" s="150" t="str">
        <f>Master!AF31</f>
        <v>INDONESIA</v>
      </c>
      <c r="R94" s="263"/>
      <c r="S94" s="263"/>
      <c r="T94" s="263"/>
    </row>
    <row r="95" spans="2:20" ht="15.75" thickBot="1" x14ac:dyDescent="0.3">
      <c r="B95" s="150" t="str">
        <f>Master!AF32</f>
        <v>IRAN</v>
      </c>
      <c r="C95" s="149" t="str">
        <f>Master!AG32</f>
        <v>IR</v>
      </c>
      <c r="D95" s="258">
        <v>0</v>
      </c>
      <c r="E95" s="258">
        <v>0</v>
      </c>
      <c r="F95" s="258">
        <v>0</v>
      </c>
      <c r="G95" s="258">
        <v>0</v>
      </c>
      <c r="H95" s="258">
        <v>0</v>
      </c>
      <c r="I95" s="258">
        <v>0</v>
      </c>
      <c r="J95" s="258">
        <v>0</v>
      </c>
      <c r="K95" s="258">
        <v>0</v>
      </c>
      <c r="L95" s="258">
        <v>0</v>
      </c>
      <c r="M95" s="258">
        <v>0</v>
      </c>
      <c r="N95" s="258">
        <v>0</v>
      </c>
      <c r="O95" s="258">
        <v>0</v>
      </c>
      <c r="P95" s="258">
        <f>SUM(D95:O95)</f>
        <v>0</v>
      </c>
      <c r="Q95" s="150" t="str">
        <f>Master!AF32</f>
        <v>IRAN</v>
      </c>
      <c r="R95" s="263"/>
      <c r="S95" s="263"/>
      <c r="T95" s="263"/>
    </row>
    <row r="96" spans="2:20" ht="15.75" thickBot="1" x14ac:dyDescent="0.3">
      <c r="B96" s="150" t="str">
        <f>Master!AF33</f>
        <v>IRAQ</v>
      </c>
      <c r="C96" s="149" t="str">
        <f>Master!AG33</f>
        <v>IZ</v>
      </c>
      <c r="D96" s="258">
        <v>0</v>
      </c>
      <c r="E96" s="258">
        <v>0</v>
      </c>
      <c r="F96" s="258">
        <v>0</v>
      </c>
      <c r="G96" s="258">
        <v>2</v>
      </c>
      <c r="H96" s="258">
        <v>0</v>
      </c>
      <c r="I96" s="258">
        <v>5</v>
      </c>
      <c r="J96" s="258">
        <v>2</v>
      </c>
      <c r="K96" s="258">
        <v>0</v>
      </c>
      <c r="L96" s="258">
        <v>0</v>
      </c>
      <c r="M96" s="258">
        <v>0</v>
      </c>
      <c r="N96" s="258">
        <v>0</v>
      </c>
      <c r="O96" s="258">
        <v>0</v>
      </c>
      <c r="P96" s="258">
        <f>SUM(D96:O96)</f>
        <v>9</v>
      </c>
      <c r="Q96" s="150" t="str">
        <f>Master!AF33</f>
        <v>IRAQ</v>
      </c>
      <c r="R96" s="263"/>
      <c r="S96" s="263"/>
      <c r="T96" s="263"/>
    </row>
    <row r="97" spans="2:20" ht="15.75" thickBot="1" x14ac:dyDescent="0.3">
      <c r="B97" s="150" t="str">
        <f>Master!AF34</f>
        <v>IVORY COAST</v>
      </c>
      <c r="C97" s="149" t="str">
        <f>Master!AG34</f>
        <v>IV</v>
      </c>
      <c r="D97" s="258">
        <v>0</v>
      </c>
      <c r="E97" s="258">
        <v>0</v>
      </c>
      <c r="F97" s="258">
        <v>0</v>
      </c>
      <c r="G97" s="258">
        <v>0</v>
      </c>
      <c r="H97" s="258">
        <v>0</v>
      </c>
      <c r="I97" s="258">
        <v>0</v>
      </c>
      <c r="J97" s="258">
        <v>1</v>
      </c>
      <c r="K97" s="258">
        <v>0</v>
      </c>
      <c r="L97" s="258">
        <v>0</v>
      </c>
      <c r="M97" s="258">
        <v>0</v>
      </c>
      <c r="N97" s="258">
        <v>0</v>
      </c>
      <c r="O97" s="258">
        <v>0</v>
      </c>
      <c r="P97" s="258">
        <f>SUM(D97:O97)</f>
        <v>1</v>
      </c>
      <c r="Q97" s="150" t="str">
        <f>Master!AF34</f>
        <v>IVORY COAST</v>
      </c>
      <c r="R97" s="263"/>
      <c r="S97" s="263"/>
      <c r="T97" s="263"/>
    </row>
    <row r="98" spans="2:20" ht="15.75" thickBot="1" x14ac:dyDescent="0.3">
      <c r="B98" s="150" t="str">
        <f>Master!AF35</f>
        <v>JORDAN</v>
      </c>
      <c r="C98" s="149" t="str">
        <f>Master!AG35</f>
        <v>JO</v>
      </c>
      <c r="D98" s="258">
        <v>0</v>
      </c>
      <c r="E98" s="258">
        <v>0</v>
      </c>
      <c r="F98" s="258">
        <v>0</v>
      </c>
      <c r="G98" s="258">
        <v>0</v>
      </c>
      <c r="H98" s="258">
        <v>0</v>
      </c>
      <c r="I98" s="258">
        <v>0</v>
      </c>
      <c r="J98" s="258">
        <v>0</v>
      </c>
      <c r="K98" s="258">
        <v>0</v>
      </c>
      <c r="L98" s="258">
        <v>0</v>
      </c>
      <c r="M98" s="258">
        <v>0</v>
      </c>
      <c r="N98" s="258">
        <v>0</v>
      </c>
      <c r="O98" s="258">
        <v>0</v>
      </c>
      <c r="P98" s="258">
        <f>SUM(D98:O98)</f>
        <v>0</v>
      </c>
      <c r="Q98" s="150" t="str">
        <f>Master!AF35</f>
        <v>JORDAN</v>
      </c>
      <c r="R98" s="263"/>
      <c r="S98" s="263"/>
      <c r="T98" s="263"/>
    </row>
    <row r="99" spans="2:20" ht="15.75" thickBot="1" x14ac:dyDescent="0.3">
      <c r="B99" s="150" t="str">
        <f>Master!AF36</f>
        <v>KAZAKHSTAN</v>
      </c>
      <c r="C99" s="149" t="str">
        <f>Master!AG36</f>
        <v>KZ</v>
      </c>
      <c r="D99" s="258">
        <v>0</v>
      </c>
      <c r="E99" s="258">
        <v>0</v>
      </c>
      <c r="F99" s="258">
        <v>0</v>
      </c>
      <c r="G99" s="258">
        <v>0</v>
      </c>
      <c r="H99" s="258">
        <v>0</v>
      </c>
      <c r="I99" s="258">
        <v>0</v>
      </c>
      <c r="J99" s="258">
        <v>0</v>
      </c>
      <c r="K99" s="258">
        <v>0</v>
      </c>
      <c r="L99" s="258">
        <v>0</v>
      </c>
      <c r="M99" s="258">
        <v>0</v>
      </c>
      <c r="N99" s="258">
        <v>0</v>
      </c>
      <c r="O99" s="258">
        <v>0</v>
      </c>
      <c r="P99" s="258">
        <f>SUM(D99:O99)</f>
        <v>0</v>
      </c>
      <c r="Q99" s="150" t="str">
        <f>Master!AF36</f>
        <v>KAZAKHSTAN</v>
      </c>
      <c r="R99" s="263"/>
      <c r="S99" s="263"/>
      <c r="T99" s="263"/>
    </row>
    <row r="100" spans="2:20" ht="15.75" thickBot="1" x14ac:dyDescent="0.3">
      <c r="B100" s="150" t="str">
        <f>Master!AF37</f>
        <v>KENYA</v>
      </c>
      <c r="C100" s="149" t="str">
        <f>Master!AG37</f>
        <v>KE</v>
      </c>
      <c r="D100" s="258">
        <v>0</v>
      </c>
      <c r="E100" s="258">
        <v>0</v>
      </c>
      <c r="F100" s="258">
        <v>0</v>
      </c>
      <c r="G100" s="258">
        <v>0</v>
      </c>
      <c r="H100" s="258">
        <v>0</v>
      </c>
      <c r="I100" s="258">
        <v>0</v>
      </c>
      <c r="J100" s="258">
        <v>0</v>
      </c>
      <c r="K100" s="258">
        <v>0</v>
      </c>
      <c r="L100" s="258">
        <v>0</v>
      </c>
      <c r="M100" s="258">
        <v>0</v>
      </c>
      <c r="N100" s="258">
        <v>0</v>
      </c>
      <c r="O100" s="258">
        <v>0</v>
      </c>
      <c r="P100" s="258">
        <f>SUM(D100:O100)</f>
        <v>0</v>
      </c>
      <c r="Q100" s="150" t="str">
        <f>Master!AF37</f>
        <v>KENYA</v>
      </c>
      <c r="R100" s="263"/>
      <c r="S100" s="263"/>
      <c r="T100" s="263"/>
    </row>
    <row r="101" spans="2:20" ht="15.75" thickBot="1" x14ac:dyDescent="0.3">
      <c r="B101" s="150" t="str">
        <f>Master!AF38</f>
        <v>LEBANON</v>
      </c>
      <c r="C101" s="149" t="str">
        <f>Master!AG38</f>
        <v>LE</v>
      </c>
      <c r="D101" s="258">
        <v>0</v>
      </c>
      <c r="E101" s="258">
        <v>0</v>
      </c>
      <c r="F101" s="258">
        <v>0</v>
      </c>
      <c r="G101" s="258">
        <v>0</v>
      </c>
      <c r="H101" s="258">
        <v>0</v>
      </c>
      <c r="I101" s="258">
        <v>0</v>
      </c>
      <c r="J101" s="258">
        <v>0</v>
      </c>
      <c r="K101" s="258">
        <v>0</v>
      </c>
      <c r="L101" s="258">
        <v>0</v>
      </c>
      <c r="M101" s="258">
        <v>0</v>
      </c>
      <c r="N101" s="258">
        <v>0</v>
      </c>
      <c r="O101" s="258">
        <v>0</v>
      </c>
      <c r="P101" s="258">
        <f>SUM(D101:O101)</f>
        <v>0</v>
      </c>
      <c r="Q101" s="150" t="str">
        <f>Master!AF38</f>
        <v>LEBANON</v>
      </c>
      <c r="R101" s="263"/>
      <c r="S101" s="263"/>
      <c r="T101" s="263"/>
    </row>
    <row r="102" spans="2:20" ht="15.75" thickBot="1" x14ac:dyDescent="0.3">
      <c r="B102" s="150" t="str">
        <f>Master!AF39</f>
        <v>LIBERIA</v>
      </c>
      <c r="C102" s="149" t="str">
        <f>Master!AG39</f>
        <v>LI</v>
      </c>
      <c r="D102" s="258">
        <v>0</v>
      </c>
      <c r="E102" s="258">
        <v>0</v>
      </c>
      <c r="F102" s="258">
        <v>0</v>
      </c>
      <c r="G102" s="258">
        <v>0</v>
      </c>
      <c r="H102" s="258">
        <v>0</v>
      </c>
      <c r="I102" s="258">
        <v>0</v>
      </c>
      <c r="J102" s="258">
        <v>0</v>
      </c>
      <c r="K102" s="258">
        <v>0</v>
      </c>
      <c r="L102" s="258">
        <v>0</v>
      </c>
      <c r="M102" s="258">
        <v>0</v>
      </c>
      <c r="N102" s="258">
        <v>0</v>
      </c>
      <c r="O102" s="258">
        <v>0</v>
      </c>
      <c r="P102" s="258">
        <f>SUM(D102:O102)</f>
        <v>0</v>
      </c>
      <c r="Q102" s="150" t="str">
        <f>Master!AF39</f>
        <v>LIBERIA</v>
      </c>
      <c r="R102" s="263"/>
      <c r="S102" s="263"/>
      <c r="T102" s="263"/>
    </row>
    <row r="103" spans="2:20" ht="15.75" thickBot="1" x14ac:dyDescent="0.3">
      <c r="B103" s="150" t="str">
        <f>Master!AF40</f>
        <v>LIBYA</v>
      </c>
      <c r="C103" s="149" t="str">
        <f>Master!AG40</f>
        <v>LY</v>
      </c>
      <c r="D103" s="258">
        <v>0</v>
      </c>
      <c r="E103" s="258">
        <v>0</v>
      </c>
      <c r="F103" s="258">
        <v>0</v>
      </c>
      <c r="G103" s="258">
        <v>0</v>
      </c>
      <c r="H103" s="258">
        <v>0</v>
      </c>
      <c r="I103" s="258">
        <v>0</v>
      </c>
      <c r="J103" s="258">
        <v>0</v>
      </c>
      <c r="K103" s="258">
        <v>0</v>
      </c>
      <c r="L103" s="258">
        <v>0</v>
      </c>
      <c r="M103" s="258">
        <v>0</v>
      </c>
      <c r="N103" s="258">
        <v>0</v>
      </c>
      <c r="O103" s="258">
        <v>0</v>
      </c>
      <c r="P103" s="258">
        <f>SUM(D103:O103)</f>
        <v>0</v>
      </c>
      <c r="Q103" s="150" t="str">
        <f>Master!AF40</f>
        <v>LIBYA</v>
      </c>
      <c r="R103" s="263"/>
      <c r="S103" s="263"/>
      <c r="T103" s="263"/>
    </row>
    <row r="104" spans="2:20" ht="15.75" thickBot="1" x14ac:dyDescent="0.3">
      <c r="B104" s="150" t="str">
        <f>Master!AF41</f>
        <v>MOLDOVA</v>
      </c>
      <c r="C104" s="149" t="str">
        <f>Master!AG41</f>
        <v>MD</v>
      </c>
      <c r="D104" s="258">
        <v>0</v>
      </c>
      <c r="E104" s="258">
        <v>0</v>
      </c>
      <c r="F104" s="258">
        <v>0</v>
      </c>
      <c r="G104" s="258">
        <v>0</v>
      </c>
      <c r="H104" s="258">
        <v>1</v>
      </c>
      <c r="I104" s="258">
        <v>0</v>
      </c>
      <c r="J104" s="258">
        <v>0</v>
      </c>
      <c r="K104" s="258">
        <v>0</v>
      </c>
      <c r="L104" s="258">
        <v>0</v>
      </c>
      <c r="M104" s="258">
        <v>0</v>
      </c>
      <c r="N104" s="258">
        <v>0</v>
      </c>
      <c r="O104" s="258">
        <v>0</v>
      </c>
      <c r="P104" s="258">
        <f>SUM(D104:O104)</f>
        <v>1</v>
      </c>
      <c r="Q104" s="150" t="str">
        <f>Master!AF41</f>
        <v>MOLDOVA</v>
      </c>
      <c r="R104" s="263"/>
      <c r="S104" s="263"/>
      <c r="T104" s="263"/>
    </row>
    <row r="105" spans="2:20" ht="15.75" thickBot="1" x14ac:dyDescent="0.3">
      <c r="B105" s="150" t="str">
        <f>Master!AF42</f>
        <v>MALI</v>
      </c>
      <c r="C105" s="149" t="str">
        <f>Master!AG42</f>
        <v>ML</v>
      </c>
      <c r="D105" s="258">
        <v>0</v>
      </c>
      <c r="E105" s="258">
        <v>0</v>
      </c>
      <c r="F105" s="258">
        <v>0</v>
      </c>
      <c r="G105" s="258">
        <v>0</v>
      </c>
      <c r="H105" s="258">
        <v>0</v>
      </c>
      <c r="I105" s="258">
        <v>0</v>
      </c>
      <c r="J105" s="258">
        <v>0</v>
      </c>
      <c r="K105" s="258">
        <v>0</v>
      </c>
      <c r="L105" s="258">
        <v>0</v>
      </c>
      <c r="M105" s="258">
        <v>0</v>
      </c>
      <c r="N105" s="258">
        <v>0</v>
      </c>
      <c r="O105" s="258">
        <v>0</v>
      </c>
      <c r="P105" s="258">
        <f>SUM(D105:O105)</f>
        <v>0</v>
      </c>
      <c r="Q105" s="150" t="str">
        <f>Master!AF42</f>
        <v>MALI</v>
      </c>
      <c r="R105" s="263"/>
      <c r="S105" s="263"/>
      <c r="T105" s="263"/>
    </row>
    <row r="106" spans="2:20" ht="15.75" thickBot="1" x14ac:dyDescent="0.3">
      <c r="B106" s="150" t="str">
        <f>Master!AF43</f>
        <v>MALAYSIA</v>
      </c>
      <c r="C106" s="149" t="str">
        <f>Master!AG43</f>
        <v>MY</v>
      </c>
      <c r="D106" s="258">
        <v>0</v>
      </c>
      <c r="E106" s="258">
        <v>0</v>
      </c>
      <c r="F106" s="258">
        <v>0</v>
      </c>
      <c r="G106" s="258">
        <v>0</v>
      </c>
      <c r="H106" s="258">
        <v>0</v>
      </c>
      <c r="I106" s="258">
        <v>0</v>
      </c>
      <c r="J106" s="258">
        <v>0</v>
      </c>
      <c r="K106" s="258">
        <v>0</v>
      </c>
      <c r="L106" s="258">
        <v>0</v>
      </c>
      <c r="M106" s="258">
        <v>0</v>
      </c>
      <c r="N106" s="258">
        <v>0</v>
      </c>
      <c r="O106" s="258">
        <v>0</v>
      </c>
      <c r="P106" s="258">
        <f>SUM(D106:O106)</f>
        <v>0</v>
      </c>
      <c r="Q106" s="150" t="str">
        <f>Master!AF43</f>
        <v>MALAYSIA</v>
      </c>
      <c r="R106" s="263"/>
      <c r="S106" s="263"/>
      <c r="T106" s="263"/>
    </row>
    <row r="107" spans="2:20" ht="15.75" thickBot="1" x14ac:dyDescent="0.3">
      <c r="B107" s="150" t="str">
        <f>Master!AF44</f>
        <v>NAMIBIA</v>
      </c>
      <c r="C107" s="149" t="str">
        <f>Master!AG44</f>
        <v>WA</v>
      </c>
      <c r="D107" s="258">
        <v>0</v>
      </c>
      <c r="E107" s="258">
        <v>0</v>
      </c>
      <c r="F107" s="258">
        <v>0</v>
      </c>
      <c r="G107" s="258">
        <v>0</v>
      </c>
      <c r="H107" s="258">
        <v>0</v>
      </c>
      <c r="I107" s="258">
        <v>0</v>
      </c>
      <c r="J107" s="258">
        <v>0</v>
      </c>
      <c r="K107" s="258">
        <v>0</v>
      </c>
      <c r="L107" s="258">
        <v>0</v>
      </c>
      <c r="M107" s="258">
        <v>0</v>
      </c>
      <c r="N107" s="258">
        <v>0</v>
      </c>
      <c r="O107" s="258">
        <v>0</v>
      </c>
      <c r="P107" s="258">
        <f>SUM(D107:O107)</f>
        <v>0</v>
      </c>
      <c r="Q107" s="150" t="str">
        <f>Master!AF44</f>
        <v>NAMIBIA</v>
      </c>
      <c r="R107" s="263"/>
      <c r="S107" s="263"/>
      <c r="T107" s="263"/>
    </row>
    <row r="108" spans="2:20" ht="15.75" thickBot="1" x14ac:dyDescent="0.3">
      <c r="B108" s="150" t="str">
        <f>Master!AF45</f>
        <v>NEPAL</v>
      </c>
      <c r="C108" s="149" t="str">
        <f>Master!AG45</f>
        <v>NP</v>
      </c>
      <c r="D108" s="258">
        <v>0</v>
      </c>
      <c r="E108" s="258">
        <v>1</v>
      </c>
      <c r="F108" s="258">
        <v>0</v>
      </c>
      <c r="G108" s="258">
        <v>1</v>
      </c>
      <c r="H108" s="258">
        <v>0</v>
      </c>
      <c r="I108" s="258">
        <v>0</v>
      </c>
      <c r="J108" s="258">
        <v>0</v>
      </c>
      <c r="K108" s="258">
        <v>0</v>
      </c>
      <c r="L108" s="258">
        <v>0</v>
      </c>
      <c r="M108" s="258">
        <v>0</v>
      </c>
      <c r="N108" s="258">
        <v>0</v>
      </c>
      <c r="O108" s="258">
        <v>0</v>
      </c>
      <c r="P108" s="258">
        <f>SUM(D108:O108)</f>
        <v>2</v>
      </c>
      <c r="Q108" s="150" t="str">
        <f>Master!AF45</f>
        <v>NEPAL</v>
      </c>
      <c r="R108" s="263"/>
      <c r="S108" s="263"/>
      <c r="T108" s="263"/>
    </row>
    <row r="109" spans="2:20" ht="15.75" thickBot="1" x14ac:dyDescent="0.3">
      <c r="B109" s="150" t="str">
        <f>Master!AF46</f>
        <v>NIGERIA</v>
      </c>
      <c r="C109" s="149" t="str">
        <f>Master!AG46</f>
        <v>NI</v>
      </c>
      <c r="D109" s="258">
        <v>0</v>
      </c>
      <c r="E109" s="258">
        <v>0</v>
      </c>
      <c r="F109" s="258">
        <v>0</v>
      </c>
      <c r="G109" s="258">
        <v>0</v>
      </c>
      <c r="H109" s="258">
        <v>0</v>
      </c>
      <c r="I109" s="258">
        <v>0</v>
      </c>
      <c r="J109" s="258">
        <v>0</v>
      </c>
      <c r="K109" s="258">
        <v>0</v>
      </c>
      <c r="L109" s="258">
        <v>0</v>
      </c>
      <c r="M109" s="258">
        <v>0</v>
      </c>
      <c r="N109" s="258">
        <v>0</v>
      </c>
      <c r="O109" s="258">
        <v>0</v>
      </c>
      <c r="P109" s="258">
        <f>SUM(D109:O109)</f>
        <v>0</v>
      </c>
      <c r="Q109" s="150" t="str">
        <f>Master!AF46</f>
        <v>NIGERIA</v>
      </c>
      <c r="R109" s="263"/>
      <c r="S109" s="263"/>
      <c r="T109" s="263"/>
    </row>
    <row r="110" spans="2:20" ht="15.75" thickBot="1" x14ac:dyDescent="0.3">
      <c r="B110" s="150" t="str">
        <f>Master!AF47</f>
        <v>PAKISTAN</v>
      </c>
      <c r="C110" s="149" t="str">
        <f>Master!AG47</f>
        <v>PK</v>
      </c>
      <c r="D110" s="258">
        <v>0</v>
      </c>
      <c r="E110" s="258">
        <v>0</v>
      </c>
      <c r="F110" s="258">
        <v>0</v>
      </c>
      <c r="G110" s="258">
        <v>0</v>
      </c>
      <c r="H110" s="258">
        <v>0</v>
      </c>
      <c r="I110" s="258">
        <v>0</v>
      </c>
      <c r="J110" s="258">
        <v>0</v>
      </c>
      <c r="K110" s="258">
        <v>0</v>
      </c>
      <c r="L110" s="258">
        <v>0</v>
      </c>
      <c r="M110" s="258">
        <v>0</v>
      </c>
      <c r="N110" s="258">
        <v>0</v>
      </c>
      <c r="O110" s="258">
        <v>0</v>
      </c>
      <c r="P110" s="258">
        <f>SUM(D110:O110)</f>
        <v>0</v>
      </c>
      <c r="Q110" s="150" t="str">
        <f>Master!AF47</f>
        <v>PAKISTAN</v>
      </c>
      <c r="R110" s="263"/>
      <c r="S110" s="263"/>
      <c r="T110" s="263"/>
    </row>
    <row r="111" spans="2:20" ht="15.75" thickBot="1" x14ac:dyDescent="0.3">
      <c r="B111" s="150" t="str">
        <f>Master!AF48</f>
        <v>PITCAIRN ISLANDS</v>
      </c>
      <c r="C111" s="149" t="str">
        <f>Master!AG48</f>
        <v>PN</v>
      </c>
      <c r="D111" s="258">
        <v>0</v>
      </c>
      <c r="E111" s="258">
        <v>0</v>
      </c>
      <c r="F111" s="258">
        <v>0</v>
      </c>
      <c r="G111" s="258">
        <v>0</v>
      </c>
      <c r="H111" s="258">
        <v>0</v>
      </c>
      <c r="I111" s="258">
        <v>0</v>
      </c>
      <c r="J111" s="258">
        <v>0</v>
      </c>
      <c r="K111" s="258">
        <v>0</v>
      </c>
      <c r="L111" s="258">
        <v>0</v>
      </c>
      <c r="M111" s="258">
        <v>0</v>
      </c>
      <c r="N111" s="258">
        <v>0</v>
      </c>
      <c r="O111" s="258">
        <v>0</v>
      </c>
      <c r="P111" s="258">
        <f>SUM(D111:O111)</f>
        <v>0</v>
      </c>
      <c r="Q111" s="150" t="str">
        <f>Master!AF48</f>
        <v>PITCAIRN ISLANDS</v>
      </c>
      <c r="R111" s="263"/>
      <c r="S111" s="263"/>
      <c r="T111" s="263"/>
    </row>
    <row r="112" spans="2:20" ht="15.75" thickBot="1" x14ac:dyDescent="0.3">
      <c r="B112" s="150" t="str">
        <f>Master!AF49</f>
        <v>RWANDA</v>
      </c>
      <c r="C112" s="149" t="str">
        <f>Master!AG49</f>
        <v>RW</v>
      </c>
      <c r="D112" s="258">
        <v>0</v>
      </c>
      <c r="E112" s="258">
        <v>0</v>
      </c>
      <c r="F112" s="258">
        <v>0</v>
      </c>
      <c r="G112" s="258">
        <v>0</v>
      </c>
      <c r="H112" s="258">
        <v>0</v>
      </c>
      <c r="I112" s="258">
        <v>0</v>
      </c>
      <c r="J112" s="258">
        <v>0</v>
      </c>
      <c r="K112" s="258">
        <v>0</v>
      </c>
      <c r="L112" s="258">
        <v>0</v>
      </c>
      <c r="M112" s="258">
        <v>0</v>
      </c>
      <c r="N112" s="258">
        <v>0</v>
      </c>
      <c r="O112" s="258">
        <v>0</v>
      </c>
      <c r="P112" s="258">
        <f>SUM(D112:O112)</f>
        <v>0</v>
      </c>
      <c r="Q112" s="150" t="str">
        <f>Master!AF49</f>
        <v>RWANDA</v>
      </c>
      <c r="R112" s="263"/>
      <c r="S112" s="263"/>
      <c r="T112" s="263"/>
    </row>
    <row r="113" spans="2:20" ht="15.75" thickBot="1" x14ac:dyDescent="0.3">
      <c r="B113" s="150" t="str">
        <f>Master!AF50</f>
        <v>RUSSIA</v>
      </c>
      <c r="C113" s="149" t="str">
        <f>Master!AG50</f>
        <v>RS</v>
      </c>
      <c r="D113" s="258">
        <v>0</v>
      </c>
      <c r="E113" s="258">
        <v>1</v>
      </c>
      <c r="F113" s="258">
        <v>0</v>
      </c>
      <c r="G113" s="258">
        <v>0</v>
      </c>
      <c r="H113" s="258">
        <v>0</v>
      </c>
      <c r="I113" s="258">
        <v>0</v>
      </c>
      <c r="J113" s="258">
        <v>0</v>
      </c>
      <c r="K113" s="258">
        <v>0</v>
      </c>
      <c r="L113" s="258">
        <v>0</v>
      </c>
      <c r="M113" s="258">
        <v>0</v>
      </c>
      <c r="N113" s="258">
        <v>0</v>
      </c>
      <c r="O113" s="258">
        <v>0</v>
      </c>
      <c r="P113" s="258">
        <f>SUM(D113:O113)</f>
        <v>1</v>
      </c>
      <c r="Q113" s="150" t="str">
        <f>Master!AF50</f>
        <v>RUSSIA</v>
      </c>
      <c r="R113" s="263"/>
      <c r="S113" s="263"/>
      <c r="T113" s="263"/>
    </row>
    <row r="114" spans="2:20" ht="15.75" thickBot="1" x14ac:dyDescent="0.3">
      <c r="B114" s="150" t="str">
        <f>Master!AF51</f>
        <v>SIERRA LEON</v>
      </c>
      <c r="C114" s="149" t="str">
        <f>Master!AG51</f>
        <v>SL</v>
      </c>
      <c r="D114" s="258">
        <v>0</v>
      </c>
      <c r="E114" s="258">
        <v>0</v>
      </c>
      <c r="F114" s="258">
        <v>0</v>
      </c>
      <c r="G114" s="258">
        <v>0</v>
      </c>
      <c r="H114" s="258">
        <v>0</v>
      </c>
      <c r="I114" s="258">
        <v>0</v>
      </c>
      <c r="J114" s="258">
        <v>0</v>
      </c>
      <c r="K114" s="258">
        <v>0</v>
      </c>
      <c r="L114" s="258">
        <v>0</v>
      </c>
      <c r="M114" s="258">
        <v>0</v>
      </c>
      <c r="N114" s="258">
        <v>0</v>
      </c>
      <c r="O114" s="258">
        <v>0</v>
      </c>
      <c r="P114" s="258">
        <f>SUM(D114:O114)</f>
        <v>0</v>
      </c>
      <c r="Q114" s="150" t="str">
        <f>Master!AF51</f>
        <v>SIERRA LEON</v>
      </c>
      <c r="R114" s="263"/>
      <c r="S114" s="263"/>
      <c r="T114" s="263"/>
    </row>
    <row r="115" spans="2:20" ht="15.75" thickBot="1" x14ac:dyDescent="0.3">
      <c r="B115" s="150" t="str">
        <f>Master!AF52</f>
        <v>SOMALIA</v>
      </c>
      <c r="C115" s="149" t="str">
        <f>Master!AG52</f>
        <v>SO</v>
      </c>
      <c r="D115" s="258">
        <v>25</v>
      </c>
      <c r="E115" s="258">
        <v>11</v>
      </c>
      <c r="F115" s="258">
        <v>18</v>
      </c>
      <c r="G115" s="258">
        <v>0</v>
      </c>
      <c r="H115" s="258">
        <v>8</v>
      </c>
      <c r="I115" s="258">
        <v>0</v>
      </c>
      <c r="J115" s="258">
        <v>0</v>
      </c>
      <c r="K115" s="258">
        <v>0</v>
      </c>
      <c r="L115" s="258">
        <v>11</v>
      </c>
      <c r="M115" s="258">
        <v>5</v>
      </c>
      <c r="N115" s="258">
        <v>0</v>
      </c>
      <c r="O115" s="258">
        <v>0</v>
      </c>
      <c r="P115" s="258">
        <f>SUM(D115:O115)</f>
        <v>78</v>
      </c>
      <c r="Q115" s="150" t="str">
        <f>Master!AF52</f>
        <v>SOMALIA</v>
      </c>
      <c r="R115" s="263"/>
      <c r="S115" s="263"/>
      <c r="T115" s="263"/>
    </row>
    <row r="116" spans="2:20" ht="15.75" thickBot="1" x14ac:dyDescent="0.3">
      <c r="B116" s="150" t="str">
        <f>Master!AF53</f>
        <v>SPAIN</v>
      </c>
      <c r="C116" s="149" t="str">
        <f>Master!AG53</f>
        <v>ES</v>
      </c>
      <c r="D116" s="258">
        <v>0</v>
      </c>
      <c r="E116" s="258">
        <v>0</v>
      </c>
      <c r="F116" s="258">
        <v>0</v>
      </c>
      <c r="G116" s="258">
        <v>0</v>
      </c>
      <c r="H116" s="258">
        <v>0</v>
      </c>
      <c r="I116" s="258">
        <v>0</v>
      </c>
      <c r="J116" s="258">
        <v>0</v>
      </c>
      <c r="K116" s="258">
        <v>0</v>
      </c>
      <c r="L116" s="258">
        <v>0</v>
      </c>
      <c r="M116" s="258">
        <v>0</v>
      </c>
      <c r="N116" s="258">
        <v>0</v>
      </c>
      <c r="O116" s="258">
        <v>0</v>
      </c>
      <c r="P116" s="258">
        <f>SUM(D116:O116)</f>
        <v>0</v>
      </c>
      <c r="Q116" s="150" t="str">
        <f>Master!AF53</f>
        <v>SPAIN</v>
      </c>
      <c r="R116" s="263"/>
      <c r="S116" s="263"/>
      <c r="T116" s="263"/>
    </row>
    <row r="117" spans="2:20" ht="15.75" thickBot="1" x14ac:dyDescent="0.3">
      <c r="B117" s="150" t="str">
        <f>Master!AF54</f>
        <v>SOUTH SUDAN</v>
      </c>
      <c r="C117" s="149" t="str">
        <f>Master!AG54</f>
        <v>SS</v>
      </c>
      <c r="D117" s="258">
        <v>0</v>
      </c>
      <c r="E117" s="258">
        <v>0</v>
      </c>
      <c r="F117" s="258">
        <v>0</v>
      </c>
      <c r="G117" s="258">
        <v>0</v>
      </c>
      <c r="H117" s="258">
        <v>0</v>
      </c>
      <c r="I117" s="258">
        <v>0</v>
      </c>
      <c r="J117" s="258">
        <v>0</v>
      </c>
      <c r="K117" s="258">
        <v>0</v>
      </c>
      <c r="L117" s="258">
        <v>0</v>
      </c>
      <c r="M117" s="258">
        <v>0</v>
      </c>
      <c r="N117" s="258">
        <v>0</v>
      </c>
      <c r="O117" s="258">
        <v>0</v>
      </c>
      <c r="P117" s="258">
        <f>SUM(D117:O117)</f>
        <v>0</v>
      </c>
      <c r="Q117" s="150" t="str">
        <f>Master!AF54</f>
        <v>SOUTH SUDAN</v>
      </c>
      <c r="R117" s="263"/>
      <c r="S117" s="263"/>
      <c r="T117" s="263"/>
    </row>
    <row r="118" spans="2:20" ht="15.75" thickBot="1" x14ac:dyDescent="0.3">
      <c r="B118" s="150" t="str">
        <f>Master!AF55</f>
        <v>SRI LANKA</v>
      </c>
      <c r="C118" s="149" t="str">
        <f>Master!AG55</f>
        <v>CE</v>
      </c>
      <c r="D118" s="258">
        <v>0</v>
      </c>
      <c r="E118" s="258">
        <v>0</v>
      </c>
      <c r="F118" s="258">
        <v>0</v>
      </c>
      <c r="G118" s="258">
        <v>0</v>
      </c>
      <c r="H118" s="258">
        <v>0</v>
      </c>
      <c r="I118" s="258">
        <v>0</v>
      </c>
      <c r="J118" s="258">
        <v>0</v>
      </c>
      <c r="K118" s="258">
        <v>0</v>
      </c>
      <c r="L118" s="258">
        <v>0</v>
      </c>
      <c r="M118" s="258">
        <v>0</v>
      </c>
      <c r="N118" s="258">
        <v>0</v>
      </c>
      <c r="O118" s="258">
        <v>0</v>
      </c>
      <c r="P118" s="258">
        <f>SUM(D118:O118)</f>
        <v>0</v>
      </c>
      <c r="Q118" s="150" t="str">
        <f>Master!AF55</f>
        <v>SRI LANKA</v>
      </c>
      <c r="R118" s="263"/>
      <c r="S118" s="263"/>
      <c r="T118" s="263"/>
    </row>
    <row r="119" spans="2:20" ht="15.75" thickBot="1" x14ac:dyDescent="0.3">
      <c r="B119" s="150" t="str">
        <f>Master!AF56</f>
        <v>SUDAN</v>
      </c>
      <c r="C119" s="149" t="str">
        <f>Master!AG56</f>
        <v>SU</v>
      </c>
      <c r="D119" s="258">
        <v>0</v>
      </c>
      <c r="E119" s="258">
        <v>0</v>
      </c>
      <c r="F119" s="258">
        <v>0</v>
      </c>
      <c r="G119" s="258">
        <v>0</v>
      </c>
      <c r="H119" s="258">
        <v>0</v>
      </c>
      <c r="I119" s="258">
        <v>0</v>
      </c>
      <c r="J119" s="258">
        <v>0</v>
      </c>
      <c r="K119" s="258">
        <v>0</v>
      </c>
      <c r="L119" s="258">
        <v>0</v>
      </c>
      <c r="M119" s="258">
        <v>0</v>
      </c>
      <c r="N119" s="258">
        <v>0</v>
      </c>
      <c r="O119" s="258">
        <v>0</v>
      </c>
      <c r="P119" s="258">
        <f>SUM(D119:O119)</f>
        <v>0</v>
      </c>
      <c r="Q119" s="150" t="str">
        <f>Master!AF56</f>
        <v>SUDAN</v>
      </c>
      <c r="R119" s="263"/>
      <c r="S119" s="263"/>
      <c r="T119" s="263"/>
    </row>
    <row r="120" spans="2:20" ht="15.75" thickBot="1" x14ac:dyDescent="0.3">
      <c r="B120" s="150" t="str">
        <f>Master!AF57</f>
        <v>SYRIA</v>
      </c>
      <c r="C120" s="149" t="str">
        <f>Master!AG57</f>
        <v>SY</v>
      </c>
      <c r="D120" s="258">
        <v>7</v>
      </c>
      <c r="E120" s="258">
        <v>21</v>
      </c>
      <c r="F120" s="258">
        <v>14</v>
      </c>
      <c r="G120" s="258">
        <v>11</v>
      </c>
      <c r="H120" s="258">
        <v>18</v>
      </c>
      <c r="I120" s="258">
        <v>0</v>
      </c>
      <c r="J120" s="258">
        <v>0</v>
      </c>
      <c r="K120" s="258">
        <v>0</v>
      </c>
      <c r="L120" s="258">
        <v>0</v>
      </c>
      <c r="M120" s="258">
        <v>0</v>
      </c>
      <c r="N120" s="258">
        <v>5</v>
      </c>
      <c r="O120" s="258">
        <v>0</v>
      </c>
      <c r="P120" s="258">
        <f>SUM(D120:O120)</f>
        <v>76</v>
      </c>
      <c r="Q120" s="150" t="str">
        <f>Master!AF57</f>
        <v>SYRIA</v>
      </c>
      <c r="R120" s="263"/>
      <c r="S120" s="263"/>
      <c r="T120" s="263"/>
    </row>
    <row r="121" spans="2:20" ht="15.75" thickBot="1" x14ac:dyDescent="0.3">
      <c r="B121" s="150" t="str">
        <f>Master!AF58</f>
        <v>TAJIKISTAN</v>
      </c>
      <c r="C121" s="149" t="str">
        <f>Master!AG58</f>
        <v>TI</v>
      </c>
      <c r="D121" s="258">
        <v>0</v>
      </c>
      <c r="E121" s="258">
        <v>0</v>
      </c>
      <c r="F121" s="258">
        <v>0</v>
      </c>
      <c r="G121" s="258">
        <v>0</v>
      </c>
      <c r="H121" s="258">
        <v>0</v>
      </c>
      <c r="I121" s="258">
        <v>0</v>
      </c>
      <c r="J121" s="258">
        <v>0</v>
      </c>
      <c r="K121" s="258">
        <v>0</v>
      </c>
      <c r="L121" s="258">
        <v>0</v>
      </c>
      <c r="M121" s="258">
        <v>0</v>
      </c>
      <c r="N121" s="258">
        <v>0</v>
      </c>
      <c r="O121" s="258">
        <v>0</v>
      </c>
      <c r="P121" s="258">
        <f>SUM(D121:O121)</f>
        <v>0</v>
      </c>
      <c r="Q121" s="150" t="str">
        <f>Master!AF58</f>
        <v>TAJIKISTAN</v>
      </c>
      <c r="R121" s="263"/>
      <c r="S121" s="263"/>
      <c r="T121" s="263"/>
    </row>
    <row r="122" spans="2:20" ht="15.75" thickBot="1" x14ac:dyDescent="0.3">
      <c r="B122" s="150" t="str">
        <f>Master!AF59</f>
        <v>TANZANIA</v>
      </c>
      <c r="C122" s="149" t="str">
        <f>Master!AG59</f>
        <v>TZ</v>
      </c>
      <c r="D122" s="258">
        <v>0</v>
      </c>
      <c r="E122" s="258">
        <v>0</v>
      </c>
      <c r="F122" s="258">
        <v>0</v>
      </c>
      <c r="G122" s="258">
        <v>0</v>
      </c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f>SUM(D122:O122)</f>
        <v>0</v>
      </c>
      <c r="Q122" s="150" t="str">
        <f>Master!AF59</f>
        <v>TANZANIA</v>
      </c>
      <c r="R122" s="263"/>
      <c r="S122" s="263"/>
      <c r="T122" s="263"/>
    </row>
    <row r="123" spans="2:20" ht="15.75" thickBot="1" x14ac:dyDescent="0.3">
      <c r="B123" s="150" t="str">
        <f>Master!AF60</f>
        <v>THAILAND</v>
      </c>
      <c r="C123" s="149" t="str">
        <f>Master!AG60</f>
        <v>TH</v>
      </c>
      <c r="D123" s="258">
        <v>0</v>
      </c>
      <c r="E123" s="258">
        <v>0</v>
      </c>
      <c r="F123" s="258">
        <v>0</v>
      </c>
      <c r="G123" s="258">
        <v>0</v>
      </c>
      <c r="H123" s="258">
        <v>0</v>
      </c>
      <c r="I123" s="258">
        <v>0</v>
      </c>
      <c r="J123" s="258">
        <v>0</v>
      </c>
      <c r="K123" s="258">
        <v>0</v>
      </c>
      <c r="L123" s="258">
        <v>0</v>
      </c>
      <c r="M123" s="258">
        <v>0</v>
      </c>
      <c r="N123" s="258">
        <v>0</v>
      </c>
      <c r="O123" s="258">
        <v>0</v>
      </c>
      <c r="P123" s="258">
        <f>SUM(D123:O123)</f>
        <v>0</v>
      </c>
      <c r="Q123" s="150" t="str">
        <f>Master!AF60</f>
        <v>THAILAND</v>
      </c>
      <c r="R123" s="263"/>
      <c r="S123" s="263"/>
      <c r="T123" s="263"/>
    </row>
    <row r="124" spans="2:20" ht="15.75" thickBot="1" x14ac:dyDescent="0.3">
      <c r="B124" s="150" t="str">
        <f>Master!AF61</f>
        <v>UGANDA</v>
      </c>
      <c r="C124" s="149" t="str">
        <f>Master!AG61</f>
        <v>UG</v>
      </c>
      <c r="D124" s="258">
        <v>0</v>
      </c>
      <c r="E124" s="258">
        <v>0</v>
      </c>
      <c r="F124" s="258">
        <v>0</v>
      </c>
      <c r="G124" s="258">
        <v>0</v>
      </c>
      <c r="H124" s="258">
        <v>0</v>
      </c>
      <c r="I124" s="258">
        <v>0</v>
      </c>
      <c r="J124" s="258">
        <v>0</v>
      </c>
      <c r="K124" s="258">
        <v>0</v>
      </c>
      <c r="L124" s="258">
        <v>0</v>
      </c>
      <c r="M124" s="258">
        <v>0</v>
      </c>
      <c r="N124" s="258">
        <v>0</v>
      </c>
      <c r="O124" s="258">
        <v>0</v>
      </c>
      <c r="P124" s="258">
        <f>SUM(D124:O124)</f>
        <v>0</v>
      </c>
      <c r="Q124" s="150" t="str">
        <f>Master!AF61</f>
        <v>UGANDA</v>
      </c>
      <c r="R124" s="263"/>
      <c r="S124" s="263"/>
      <c r="T124" s="263"/>
    </row>
    <row r="125" spans="2:20" s="263" customFormat="1" ht="15.75" thickBot="1" x14ac:dyDescent="0.3">
      <c r="B125" s="150" t="str">
        <f>Master!AF62</f>
        <v>UKRAINE</v>
      </c>
      <c r="C125" s="149" t="str">
        <f>Master!AG62</f>
        <v>UP</v>
      </c>
      <c r="D125" s="258">
        <v>4</v>
      </c>
      <c r="E125" s="258">
        <v>0</v>
      </c>
      <c r="F125" s="258">
        <v>10</v>
      </c>
      <c r="G125" s="258">
        <v>2</v>
      </c>
      <c r="H125" s="258">
        <v>0</v>
      </c>
      <c r="I125" s="258">
        <v>4</v>
      </c>
      <c r="J125" s="258">
        <v>0</v>
      </c>
      <c r="K125" s="258">
        <v>0</v>
      </c>
      <c r="L125" s="258">
        <v>0</v>
      </c>
      <c r="M125" s="258">
        <v>0</v>
      </c>
      <c r="N125" s="258">
        <v>0</v>
      </c>
      <c r="O125" s="258">
        <v>0</v>
      </c>
      <c r="P125" s="258">
        <f>SUM(D125:O125)</f>
        <v>20</v>
      </c>
      <c r="Q125" s="150" t="str">
        <f>Master!AF62</f>
        <v>UKRAINE</v>
      </c>
    </row>
    <row r="126" spans="2:20" ht="15.75" thickBot="1" x14ac:dyDescent="0.3">
      <c r="B126" s="150" t="str">
        <f>Master!AF63</f>
        <v>UZBEKISTAN</v>
      </c>
      <c r="C126" s="149" t="str">
        <f>Master!AG63</f>
        <v>UZ</v>
      </c>
      <c r="D126" s="258">
        <v>0</v>
      </c>
      <c r="E126" s="258">
        <v>0</v>
      </c>
      <c r="F126" s="258">
        <v>0</v>
      </c>
      <c r="G126" s="258">
        <v>0</v>
      </c>
      <c r="H126" s="258">
        <v>0</v>
      </c>
      <c r="I126" s="258">
        <v>0</v>
      </c>
      <c r="J126" s="258">
        <v>0</v>
      </c>
      <c r="K126" s="258">
        <v>0</v>
      </c>
      <c r="L126" s="258">
        <v>0</v>
      </c>
      <c r="M126" s="258">
        <v>0</v>
      </c>
      <c r="N126" s="258">
        <v>0</v>
      </c>
      <c r="O126" s="258">
        <v>0</v>
      </c>
      <c r="P126" s="258">
        <f>SUM(D126:O126)</f>
        <v>0</v>
      </c>
      <c r="Q126" s="150" t="str">
        <f>Master!AF63</f>
        <v>UZBEKISTAN</v>
      </c>
      <c r="R126" s="263"/>
      <c r="S126" s="263"/>
      <c r="T126" s="263"/>
    </row>
    <row r="127" spans="2:20" ht="15.75" thickBot="1" x14ac:dyDescent="0.3">
      <c r="B127" s="150" t="str">
        <f>Master!AF64</f>
        <v>VIETNAM</v>
      </c>
      <c r="C127" s="149" t="str">
        <f>Master!AG64</f>
        <v>VM</v>
      </c>
      <c r="D127" s="258">
        <v>0</v>
      </c>
      <c r="E127" s="258">
        <v>0</v>
      </c>
      <c r="F127" s="258">
        <v>0</v>
      </c>
      <c r="G127" s="258">
        <v>0</v>
      </c>
      <c r="H127" s="258">
        <v>0</v>
      </c>
      <c r="I127" s="258">
        <v>0</v>
      </c>
      <c r="J127" s="258">
        <v>0</v>
      </c>
      <c r="K127" s="258">
        <v>0</v>
      </c>
      <c r="L127" s="258">
        <v>0</v>
      </c>
      <c r="M127" s="258">
        <v>0</v>
      </c>
      <c r="N127" s="258">
        <v>0</v>
      </c>
      <c r="O127" s="258">
        <v>0</v>
      </c>
      <c r="P127" s="258">
        <f>SUM(D127:O127)</f>
        <v>0</v>
      </c>
      <c r="Q127" s="150" t="str">
        <f>Master!AF64</f>
        <v>VIETNAM</v>
      </c>
      <c r="R127" s="263"/>
      <c r="S127" s="263"/>
      <c r="T127" s="263"/>
    </row>
    <row r="128" spans="2:20" ht="15.75" thickBot="1" x14ac:dyDescent="0.3">
      <c r="B128" s="150" t="str">
        <f>Master!AF65</f>
        <v>ZAMBIA</v>
      </c>
      <c r="C128" s="149" t="str">
        <f>Master!AG65</f>
        <v>ZA</v>
      </c>
      <c r="D128" s="258">
        <v>0</v>
      </c>
      <c r="E128" s="258">
        <v>0</v>
      </c>
      <c r="F128" s="258">
        <v>0</v>
      </c>
      <c r="G128" s="258">
        <v>0</v>
      </c>
      <c r="H128" s="258">
        <v>0</v>
      </c>
      <c r="I128" s="258">
        <v>0</v>
      </c>
      <c r="J128" s="258">
        <v>0</v>
      </c>
      <c r="K128" s="258">
        <v>0</v>
      </c>
      <c r="L128" s="258">
        <v>0</v>
      </c>
      <c r="M128" s="258">
        <v>0</v>
      </c>
      <c r="N128" s="258">
        <v>0</v>
      </c>
      <c r="O128" s="258">
        <v>0</v>
      </c>
      <c r="P128" s="258">
        <f>SUM(D128:O128)</f>
        <v>0</v>
      </c>
      <c r="Q128" s="150" t="str">
        <f>Master!AF65</f>
        <v>ZAMBIA</v>
      </c>
      <c r="R128" s="263"/>
      <c r="S128" s="263"/>
      <c r="T128" s="263"/>
    </row>
    <row r="129" spans="2:20" ht="15.75" thickBot="1" x14ac:dyDescent="0.3">
      <c r="B129" s="305"/>
      <c r="C129" s="306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58">
        <f>SUM(D129:O129)</f>
        <v>0</v>
      </c>
      <c r="Q129" s="150"/>
      <c r="R129" s="263"/>
      <c r="S129" s="263"/>
      <c r="T129" s="263"/>
    </row>
    <row r="130" spans="2:20" ht="15.75" thickBot="1" x14ac:dyDescent="0.3">
      <c r="B130" s="354" t="s">
        <v>53</v>
      </c>
      <c r="C130" s="355"/>
      <c r="D130" s="249">
        <f>SUM(D70:D128)</f>
        <v>45</v>
      </c>
      <c r="E130" s="249">
        <f>SUM(E70:E128)</f>
        <v>61</v>
      </c>
      <c r="F130" s="249">
        <f>SUM(F70:F128)</f>
        <v>64</v>
      </c>
      <c r="G130" s="249">
        <f>SUM(G70:G128)</f>
        <v>17</v>
      </c>
      <c r="H130" s="249">
        <f>SUM(H70:H128)</f>
        <v>28</v>
      </c>
      <c r="I130" s="249">
        <f>SUM(I70:I128)</f>
        <v>9</v>
      </c>
      <c r="J130" s="249">
        <f>SUM(J70:J128)</f>
        <v>11</v>
      </c>
      <c r="K130" s="249">
        <f>SUM(K70:K128)</f>
        <v>5</v>
      </c>
      <c r="L130" s="249">
        <v>28</v>
      </c>
      <c r="M130" s="249">
        <v>5</v>
      </c>
      <c r="N130" s="249">
        <v>5</v>
      </c>
      <c r="O130" s="249">
        <v>14</v>
      </c>
      <c r="P130" s="249">
        <f>SUM(D130:O130)</f>
        <v>292</v>
      </c>
      <c r="Q130" s="240" t="s">
        <v>53</v>
      </c>
      <c r="R130" s="263"/>
      <c r="S130" s="263"/>
      <c r="T130" s="263"/>
    </row>
    <row r="131" spans="2:20" x14ac:dyDescent="0.25"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</row>
    <row r="132" spans="2:20" x14ac:dyDescent="0.25"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</row>
    <row r="133" spans="2:20" x14ac:dyDescent="0.25"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</row>
    <row r="134" spans="2:20" x14ac:dyDescent="0.25"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</row>
    <row r="135" spans="2:20" x14ac:dyDescent="0.25"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</row>
    <row r="136" spans="2:20" x14ac:dyDescent="0.25"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</row>
    <row r="137" spans="2:20" x14ac:dyDescent="0.25"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</row>
    <row r="138" spans="2:20" x14ac:dyDescent="0.25"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</row>
    <row r="139" spans="2:20" x14ac:dyDescent="0.25"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</row>
    <row r="140" spans="2:20" x14ac:dyDescent="0.25"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</row>
    <row r="141" spans="2:20" x14ac:dyDescent="0.25"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</row>
    <row r="142" spans="2:20" x14ac:dyDescent="0.25"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</row>
    <row r="143" spans="2:20" x14ac:dyDescent="0.25"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</row>
    <row r="144" spans="2:20" x14ac:dyDescent="0.25"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</row>
    <row r="145" spans="2:20" x14ac:dyDescent="0.25"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</row>
    <row r="146" spans="2:20" x14ac:dyDescent="0.25"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</row>
    <row r="147" spans="2:20" x14ac:dyDescent="0.25"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</row>
    <row r="148" spans="2:20" x14ac:dyDescent="0.25"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</row>
    <row r="149" spans="2:20" x14ac:dyDescent="0.25"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</row>
    <row r="150" spans="2:20" x14ac:dyDescent="0.25"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</row>
    <row r="151" spans="2:20" x14ac:dyDescent="0.25"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</row>
    <row r="152" spans="2:20" x14ac:dyDescent="0.25"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</row>
    <row r="153" spans="2:20" x14ac:dyDescent="0.25"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</row>
    <row r="154" spans="2:20" x14ac:dyDescent="0.25"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</row>
    <row r="155" spans="2:20" x14ac:dyDescent="0.25"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</row>
  </sheetData>
  <mergeCells count="5">
    <mergeCell ref="B2:I2"/>
    <mergeCell ref="J2:Q2"/>
    <mergeCell ref="B3:C4"/>
    <mergeCell ref="P3:P4"/>
    <mergeCell ref="Q3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164"/>
  <sheetViews>
    <sheetView showGridLines="0" zoomScaleNormal="100" workbookViewId="0">
      <selection activeCell="S24" sqref="S24"/>
    </sheetView>
  </sheetViews>
  <sheetFormatPr defaultRowHeight="15" x14ac:dyDescent="0.25"/>
  <cols>
    <col min="1" max="1" width="2" style="62" customWidth="1"/>
    <col min="2" max="2" width="25.42578125" style="263" customWidth="1"/>
    <col min="3" max="14" width="9.140625" style="53"/>
    <col min="15" max="15" width="15.28515625" style="53" customWidth="1"/>
    <col min="16" max="16" width="14" style="62" bestFit="1" customWidth="1"/>
    <col min="17" max="16384" width="9.140625" style="62"/>
  </cols>
  <sheetData>
    <row r="1" spans="2:15" ht="10.5" customHeight="1" thickBot="1" x14ac:dyDescent="0.3"/>
    <row r="2" spans="2:15" ht="15.75" thickBot="1" x14ac:dyDescent="0.3">
      <c r="B2" s="276" t="s">
        <v>127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spans="2:15" ht="7.5" customHeight="1" thickBot="1" x14ac:dyDescent="0.3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64" t="s">
        <v>55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6"/>
    </row>
    <row r="5" spans="2:15" ht="15.75" thickBot="1" x14ac:dyDescent="0.3">
      <c r="B5" s="167"/>
      <c r="C5" s="56" t="s">
        <v>19</v>
      </c>
      <c r="D5" s="56" t="s">
        <v>20</v>
      </c>
      <c r="E5" s="56" t="s">
        <v>21</v>
      </c>
      <c r="F5" s="56" t="s">
        <v>22</v>
      </c>
      <c r="G5" s="56" t="s">
        <v>23</v>
      </c>
      <c r="H5" s="56" t="s">
        <v>24</v>
      </c>
      <c r="I5" s="56" t="s">
        <v>25</v>
      </c>
      <c r="J5" s="56" t="s">
        <v>26</v>
      </c>
      <c r="K5" s="56" t="s">
        <v>27</v>
      </c>
      <c r="L5" s="56" t="s">
        <v>60</v>
      </c>
      <c r="M5" s="56" t="s">
        <v>29</v>
      </c>
      <c r="N5" s="56" t="s">
        <v>30</v>
      </c>
      <c r="O5" s="168" t="s">
        <v>40</v>
      </c>
    </row>
    <row r="6" spans="2:15" ht="15.75" thickBot="1" x14ac:dyDescent="0.3">
      <c r="B6" s="169"/>
      <c r="C6" s="56">
        <v>10</v>
      </c>
      <c r="D6" s="56">
        <v>11</v>
      </c>
      <c r="E6" s="56">
        <v>12</v>
      </c>
      <c r="F6" s="56">
        <v>1</v>
      </c>
      <c r="G6" s="56">
        <v>2</v>
      </c>
      <c r="H6" s="56">
        <v>3</v>
      </c>
      <c r="I6" s="56">
        <v>4</v>
      </c>
      <c r="J6" s="56">
        <v>5</v>
      </c>
      <c r="K6" s="56">
        <v>6</v>
      </c>
      <c r="L6" s="56">
        <v>7</v>
      </c>
      <c r="M6" s="56">
        <v>8</v>
      </c>
      <c r="N6" s="56">
        <v>9</v>
      </c>
      <c r="O6" s="170"/>
    </row>
    <row r="7" spans="2:15" ht="15.75" thickBot="1" x14ac:dyDescent="0.3">
      <c r="B7" s="164" t="s">
        <v>13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</row>
    <row r="8" spans="2:15" ht="15.75" thickBot="1" x14ac:dyDescent="0.3">
      <c r="B8" s="57" t="str">
        <f>Master!X9</f>
        <v>PITTSBURGH</v>
      </c>
      <c r="C8" s="64">
        <v>31</v>
      </c>
      <c r="D8" s="64">
        <v>22</v>
      </c>
      <c r="E8" s="64">
        <v>9</v>
      </c>
      <c r="F8" s="64">
        <v>5</v>
      </c>
      <c r="G8" s="64">
        <v>5</v>
      </c>
      <c r="H8" s="64">
        <v>8</v>
      </c>
      <c r="I8" s="64">
        <v>6</v>
      </c>
      <c r="J8" s="244">
        <v>4</v>
      </c>
      <c r="K8" s="64">
        <v>8</v>
      </c>
      <c r="L8" s="64">
        <v>0</v>
      </c>
      <c r="M8" s="64">
        <v>0</v>
      </c>
      <c r="N8" s="64">
        <v>7</v>
      </c>
      <c r="O8" s="65">
        <f>SUM(C8:N8)</f>
        <v>105</v>
      </c>
    </row>
    <row r="9" spans="2:15" ht="15.75" thickBot="1" x14ac:dyDescent="0.3">
      <c r="B9" s="57" t="str">
        <f>Master!X10</f>
        <v>LEETSDALE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244">
        <v>0</v>
      </c>
      <c r="K9" s="64">
        <v>0</v>
      </c>
      <c r="L9" s="64">
        <v>0</v>
      </c>
      <c r="M9" s="64">
        <v>0</v>
      </c>
      <c r="N9" s="64">
        <v>0</v>
      </c>
      <c r="O9" s="65">
        <f t="shared" ref="O9:O10" si="0">SUM(C9:N9)</f>
        <v>0</v>
      </c>
    </row>
    <row r="10" spans="2:15" ht="15.75" thickBot="1" x14ac:dyDescent="0.3">
      <c r="B10" s="57" t="str">
        <f>Master!X11</f>
        <v>SEWICKLEY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244">
        <v>0</v>
      </c>
      <c r="K10" s="64">
        <v>0</v>
      </c>
      <c r="L10" s="64">
        <v>0</v>
      </c>
      <c r="M10" s="64">
        <v>0</v>
      </c>
      <c r="N10" s="64">
        <v>0</v>
      </c>
      <c r="O10" s="65">
        <f t="shared" si="0"/>
        <v>0</v>
      </c>
    </row>
    <row r="11" spans="2:15" ht="15.75" thickBot="1" x14ac:dyDescent="0.3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</row>
    <row r="12" spans="2:15" ht="15.75" thickBot="1" x14ac:dyDescent="0.3">
      <c r="B12" s="164" t="s">
        <v>11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2:15" ht="15.75" thickBot="1" x14ac:dyDescent="0.3">
      <c r="B13" s="57" t="str">
        <f>Master!X19</f>
        <v>PITTSBURGH</v>
      </c>
      <c r="C13" s="64">
        <v>19</v>
      </c>
      <c r="D13" s="64">
        <v>24</v>
      </c>
      <c r="E13" s="64">
        <v>11</v>
      </c>
      <c r="F13" s="64">
        <v>25</v>
      </c>
      <c r="G13" s="64">
        <v>6</v>
      </c>
      <c r="H13" s="64">
        <v>7</v>
      </c>
      <c r="I13" s="64">
        <v>6</v>
      </c>
      <c r="J13" s="244">
        <v>11</v>
      </c>
      <c r="K13" s="64">
        <v>15</v>
      </c>
      <c r="L13" s="64">
        <v>0</v>
      </c>
      <c r="M13" s="64">
        <v>13</v>
      </c>
      <c r="N13" s="64">
        <v>18</v>
      </c>
      <c r="O13" s="58">
        <f>SUM(C13:N13)</f>
        <v>155</v>
      </c>
    </row>
    <row r="14" spans="2:15" ht="15.75" thickBot="1" x14ac:dyDescent="0.3">
      <c r="B14" s="57" t="str">
        <f>Master!X20</f>
        <v>CASTLE SHANNON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244">
        <v>0</v>
      </c>
      <c r="K14" s="64">
        <v>0</v>
      </c>
      <c r="L14" s="64">
        <v>0</v>
      </c>
      <c r="M14" s="64">
        <v>0</v>
      </c>
      <c r="N14" s="64">
        <v>0</v>
      </c>
      <c r="O14" s="58">
        <f>SUM(C14:N14)</f>
        <v>0</v>
      </c>
    </row>
    <row r="15" spans="2:15" ht="15.75" thickBot="1" x14ac:dyDescent="0.3">
      <c r="B15" s="172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3"/>
    </row>
    <row r="16" spans="2:15" ht="15.75" thickBot="1" x14ac:dyDescent="0.3">
      <c r="B16" s="164" t="s">
        <v>3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6"/>
    </row>
    <row r="17" spans="2:18" ht="15.75" thickBot="1" x14ac:dyDescent="0.3">
      <c r="B17" s="57" t="str">
        <f>Master!X28</f>
        <v>CANONSBURG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244">
        <v>0</v>
      </c>
      <c r="K17" s="64">
        <v>0</v>
      </c>
      <c r="L17" s="64">
        <v>0</v>
      </c>
      <c r="M17" s="64">
        <v>0</v>
      </c>
      <c r="N17" s="64">
        <v>0</v>
      </c>
      <c r="O17" s="65">
        <f>SUM(C17:N17)</f>
        <v>0</v>
      </c>
    </row>
    <row r="18" spans="2:18" ht="15.75" thickBot="1" x14ac:dyDescent="0.3">
      <c r="B18" s="57" t="str">
        <f>Master!X29</f>
        <v>HANOVER TOWNSHIP</v>
      </c>
      <c r="C18" s="64">
        <v>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244">
        <v>0</v>
      </c>
      <c r="K18" s="64">
        <v>0</v>
      </c>
      <c r="L18" s="64">
        <v>0</v>
      </c>
      <c r="M18" s="64">
        <v>0</v>
      </c>
      <c r="N18" s="64">
        <v>0</v>
      </c>
      <c r="O18" s="65">
        <f t="shared" ref="O18:O20" si="1">SUM(C18:N18)</f>
        <v>6</v>
      </c>
    </row>
    <row r="19" spans="2:18" ht="15.75" thickBot="1" x14ac:dyDescent="0.3">
      <c r="B19" s="57" t="str">
        <f>Master!X30</f>
        <v>INDIANA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244">
        <v>0</v>
      </c>
      <c r="K19" s="64">
        <v>0</v>
      </c>
      <c r="L19" s="64">
        <v>0</v>
      </c>
      <c r="M19" s="64">
        <v>0</v>
      </c>
      <c r="N19" s="64">
        <v>0</v>
      </c>
      <c r="O19" s="65">
        <f t="shared" si="1"/>
        <v>0</v>
      </c>
    </row>
    <row r="20" spans="2:18" s="263" customFormat="1" ht="15.75" thickBot="1" x14ac:dyDescent="0.3">
      <c r="B20" s="57" t="str">
        <f>Master!X31</f>
        <v>PITTSBURGH</v>
      </c>
      <c r="C20" s="244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65">
        <f t="shared" si="1"/>
        <v>0</v>
      </c>
      <c r="P20" s="62"/>
      <c r="Q20" s="62"/>
      <c r="R20" s="62"/>
    </row>
    <row r="21" spans="2:18" ht="15.75" thickBot="1" x14ac:dyDescent="0.3">
      <c r="B21" s="57" t="str">
        <f>Master!X32</f>
        <v>SHARPSBURG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244">
        <v>0</v>
      </c>
      <c r="K21" s="64">
        <v>0</v>
      </c>
      <c r="L21" s="64">
        <v>0</v>
      </c>
      <c r="M21" s="64">
        <v>0</v>
      </c>
      <c r="N21" s="64">
        <v>0</v>
      </c>
      <c r="O21" s="65">
        <f>SUM(C21:N21)</f>
        <v>0</v>
      </c>
    </row>
    <row r="22" spans="2:18" ht="15.75" thickBot="1" x14ac:dyDescent="0.3">
      <c r="B22" s="57" t="s">
        <v>770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244">
        <v>0</v>
      </c>
      <c r="K22" s="64">
        <v>0</v>
      </c>
      <c r="L22" s="64">
        <v>3</v>
      </c>
      <c r="M22" s="64">
        <v>0</v>
      </c>
      <c r="N22" s="64">
        <v>0</v>
      </c>
      <c r="O22" s="65">
        <f>SUM(C22:N22)</f>
        <v>3</v>
      </c>
    </row>
    <row r="23" spans="2:18" ht="15.75" thickBot="1" x14ac:dyDescent="0.3"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</row>
    <row r="24" spans="2:18" ht="15.75" thickBot="1" x14ac:dyDescent="0.3">
      <c r="B24" s="164" t="s">
        <v>5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6"/>
    </row>
    <row r="25" spans="2:18" ht="15.75" thickBot="1" x14ac:dyDescent="0.3">
      <c r="B25" s="57" t="str">
        <f>Master!X39</f>
        <v>BELLEVUE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244">
        <v>0</v>
      </c>
      <c r="K25" s="64">
        <v>0</v>
      </c>
      <c r="L25" s="64">
        <v>0</v>
      </c>
      <c r="M25" s="64">
        <v>0</v>
      </c>
      <c r="N25" s="64">
        <v>0</v>
      </c>
      <c r="O25" s="65">
        <f>SUM(C25:N25)</f>
        <v>0</v>
      </c>
    </row>
    <row r="26" spans="2:18" ht="15.75" thickBot="1" x14ac:dyDescent="0.3">
      <c r="B26" s="57" t="str">
        <f>Master!X40</f>
        <v>BRENTWOOD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244">
        <v>7</v>
      </c>
      <c r="K26" s="64">
        <v>3</v>
      </c>
      <c r="L26" s="64">
        <v>0</v>
      </c>
      <c r="M26" s="64">
        <v>0</v>
      </c>
      <c r="N26" s="64">
        <v>0</v>
      </c>
      <c r="O26" s="65">
        <f t="shared" ref="O26" si="2">SUM(C26:N26)</f>
        <v>10</v>
      </c>
    </row>
    <row r="27" spans="2:18" ht="15.75" thickBot="1" x14ac:dyDescent="0.3">
      <c r="B27" s="57" t="str">
        <f>Master!X41</f>
        <v>CASTLE SHANNON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4</v>
      </c>
      <c r="K27" s="244">
        <v>0</v>
      </c>
      <c r="L27" s="244">
        <v>0</v>
      </c>
      <c r="M27" s="244">
        <v>0</v>
      </c>
      <c r="N27" s="244">
        <v>0</v>
      </c>
      <c r="O27" s="65">
        <f>SUM(C27:N27)</f>
        <v>4</v>
      </c>
    </row>
    <row r="28" spans="2:18" ht="15.75" thickBot="1" x14ac:dyDescent="0.3">
      <c r="B28" s="57" t="str">
        <f>Master!X42</f>
        <v>CLAIRTON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244">
        <v>0</v>
      </c>
      <c r="K28" s="64">
        <v>0</v>
      </c>
      <c r="L28" s="64">
        <v>0</v>
      </c>
      <c r="M28" s="64">
        <v>0</v>
      </c>
      <c r="N28" s="64">
        <v>0</v>
      </c>
      <c r="O28" s="65">
        <f>SUM(C28:N28)</f>
        <v>0</v>
      </c>
    </row>
    <row r="29" spans="2:18" ht="15.75" thickBot="1" x14ac:dyDescent="0.3">
      <c r="B29" s="57" t="str">
        <f>Master!X43</f>
        <v>EAST MILLSBORO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244">
        <v>0</v>
      </c>
      <c r="K29" s="64">
        <v>0</v>
      </c>
      <c r="L29" s="64">
        <v>0</v>
      </c>
      <c r="M29" s="64">
        <v>0</v>
      </c>
      <c r="N29" s="64">
        <v>0</v>
      </c>
      <c r="O29" s="65">
        <f>SUM(C29:N29)</f>
        <v>0</v>
      </c>
    </row>
    <row r="30" spans="2:18" ht="15.75" thickBot="1" x14ac:dyDescent="0.3">
      <c r="B30" s="57" t="str">
        <f>Master!X44</f>
        <v>ETNA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244">
        <v>0</v>
      </c>
      <c r="K30" s="64">
        <v>0</v>
      </c>
      <c r="L30" s="64">
        <v>0</v>
      </c>
      <c r="M30" s="64">
        <v>0</v>
      </c>
      <c r="N30" s="64">
        <v>13</v>
      </c>
      <c r="O30" s="65">
        <f>SUM(C30:N30)</f>
        <v>13</v>
      </c>
    </row>
    <row r="31" spans="2:18" ht="15.75" thickBot="1" x14ac:dyDescent="0.3">
      <c r="B31" s="57" t="str">
        <f>Master!X45</f>
        <v>PITTSBURGH</v>
      </c>
      <c r="C31" s="244">
        <v>37</v>
      </c>
      <c r="D31" s="244">
        <v>20</v>
      </c>
      <c r="E31" s="244">
        <v>28</v>
      </c>
      <c r="F31" s="244">
        <v>19</v>
      </c>
      <c r="G31" s="244">
        <v>0</v>
      </c>
      <c r="H31" s="244">
        <v>5</v>
      </c>
      <c r="I31" s="244">
        <v>6</v>
      </c>
      <c r="J31" s="244">
        <v>15</v>
      </c>
      <c r="K31" s="244">
        <v>17</v>
      </c>
      <c r="L31" s="244">
        <v>9</v>
      </c>
      <c r="M31" s="244">
        <v>5</v>
      </c>
      <c r="N31" s="244">
        <v>0</v>
      </c>
      <c r="O31" s="65">
        <f>SUM(C31:N31)</f>
        <v>161</v>
      </c>
    </row>
    <row r="32" spans="2:18" ht="15.75" thickBot="1" x14ac:dyDescent="0.3">
      <c r="B32" s="57" t="s">
        <v>274</v>
      </c>
      <c r="C32" s="142">
        <f>SUM(C8:C10,C13:C14,C17:C22,C25:C31)</f>
        <v>93</v>
      </c>
      <c r="D32" s="142">
        <f>SUM(D8:D10,D13:D14,D17:D22,D25:D31)</f>
        <v>66</v>
      </c>
      <c r="E32" s="142">
        <f>SUM(E8:E10,E13:E14,E17:E22,E25:E31)</f>
        <v>48</v>
      </c>
      <c r="F32" s="142">
        <f>SUM(F8:F10,F13:F14,F17:F22,F25:F31)</f>
        <v>49</v>
      </c>
      <c r="G32" s="142">
        <f>SUM(G8:G10,G13:G14,G17:G22,G25:G31)</f>
        <v>11</v>
      </c>
      <c r="H32" s="142">
        <f>SUM(H8:H10,H13:H14,H17:H22,H25:H31)</f>
        <v>20</v>
      </c>
      <c r="I32" s="142">
        <f>SUM(I8:I10,I13:I14,I17:I22,I25:I31)</f>
        <v>18</v>
      </c>
      <c r="J32" s="142">
        <f>SUM(J8:J10,J13:J14,J17:J22,J25:J31)</f>
        <v>41</v>
      </c>
      <c r="K32" s="142">
        <f>SUM(K8:K10,K13:K14,K17:K22,K25:K31)</f>
        <v>43</v>
      </c>
      <c r="L32" s="142">
        <f>SUM(L8:L10,L13:L14,L17:L22,L25:L31)</f>
        <v>12</v>
      </c>
      <c r="M32" s="142">
        <f>SUM(M8:M10,M13:M14,M17:M22,M25:M31)</f>
        <v>18</v>
      </c>
      <c r="N32" s="142">
        <v>38</v>
      </c>
      <c r="O32" s="142">
        <f>SUM(O8:O10,O13:O14,O17:O22,O25:O31)</f>
        <v>457</v>
      </c>
    </row>
    <row r="33" spans="2:19" ht="15.75" thickBot="1" x14ac:dyDescent="0.3">
      <c r="B33" s="174" t="s">
        <v>89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6"/>
    </row>
    <row r="34" spans="2:19" ht="15.75" thickBot="1" x14ac:dyDescent="0.3">
      <c r="B34" s="167"/>
      <c r="C34" s="56" t="s">
        <v>19</v>
      </c>
      <c r="D34" s="56" t="s">
        <v>20</v>
      </c>
      <c r="E34" s="56" t="s">
        <v>21</v>
      </c>
      <c r="F34" s="56" t="s">
        <v>22</v>
      </c>
      <c r="G34" s="56" t="s">
        <v>23</v>
      </c>
      <c r="H34" s="56" t="s">
        <v>24</v>
      </c>
      <c r="I34" s="56" t="s">
        <v>25</v>
      </c>
      <c r="J34" s="56" t="s">
        <v>26</v>
      </c>
      <c r="K34" s="56" t="s">
        <v>27</v>
      </c>
      <c r="L34" s="56" t="s">
        <v>28</v>
      </c>
      <c r="M34" s="56" t="s">
        <v>29</v>
      </c>
      <c r="N34" s="56" t="s">
        <v>30</v>
      </c>
      <c r="O34" s="168" t="s">
        <v>40</v>
      </c>
    </row>
    <row r="35" spans="2:19" ht="15.75" thickBot="1" x14ac:dyDescent="0.3">
      <c r="B35" s="169"/>
      <c r="C35" s="56">
        <v>10</v>
      </c>
      <c r="D35" s="56">
        <v>11</v>
      </c>
      <c r="E35" s="56">
        <v>12</v>
      </c>
      <c r="F35" s="56">
        <v>1</v>
      </c>
      <c r="G35" s="56">
        <v>2</v>
      </c>
      <c r="H35" s="56">
        <v>3</v>
      </c>
      <c r="I35" s="56">
        <v>4</v>
      </c>
      <c r="J35" s="56">
        <v>5</v>
      </c>
      <c r="K35" s="56">
        <v>6</v>
      </c>
      <c r="L35" s="56">
        <v>7</v>
      </c>
      <c r="M35" s="56">
        <v>8</v>
      </c>
      <c r="N35" s="56">
        <v>9</v>
      </c>
      <c r="O35" s="170"/>
    </row>
    <row r="36" spans="2:19" ht="15.75" thickBot="1" x14ac:dyDescent="0.3">
      <c r="B36" s="174" t="s">
        <v>3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/>
    </row>
    <row r="37" spans="2:19" ht="15.75" thickBot="1" x14ac:dyDescent="0.3">
      <c r="B37" s="63" t="str">
        <f>Master!X56</f>
        <v>BOALSBURG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244">
        <v>0</v>
      </c>
      <c r="K37" s="64">
        <v>0</v>
      </c>
      <c r="L37" s="64">
        <v>0</v>
      </c>
      <c r="M37" s="64">
        <v>0</v>
      </c>
      <c r="N37" s="64">
        <v>0</v>
      </c>
      <c r="O37" s="64">
        <f>SUM(C37:N37)</f>
        <v>0</v>
      </c>
    </row>
    <row r="38" spans="2:19" ht="15.75" thickBot="1" x14ac:dyDescent="0.3">
      <c r="B38" s="63" t="str">
        <f>Master!X57</f>
        <v>CAMP HILL</v>
      </c>
      <c r="C38" s="64">
        <v>0</v>
      </c>
      <c r="D38" s="64">
        <v>0</v>
      </c>
      <c r="E38" s="64">
        <v>4</v>
      </c>
      <c r="F38" s="64">
        <v>0</v>
      </c>
      <c r="G38" s="64">
        <v>0</v>
      </c>
      <c r="H38" s="64">
        <v>0</v>
      </c>
      <c r="I38" s="64">
        <v>0</v>
      </c>
      <c r="J38" s="244">
        <v>0</v>
      </c>
      <c r="K38" s="64">
        <v>0</v>
      </c>
      <c r="L38" s="64">
        <v>0</v>
      </c>
      <c r="M38" s="64">
        <v>0</v>
      </c>
      <c r="N38" s="64">
        <v>0</v>
      </c>
      <c r="O38" s="244">
        <f t="shared" ref="O38:O58" si="3">SUM(C38:N38)</f>
        <v>4</v>
      </c>
    </row>
    <row r="39" spans="2:19" ht="15.75" thickBot="1" x14ac:dyDescent="0.3">
      <c r="B39" s="63" t="str">
        <f>Master!X58</f>
        <v>CARLISLE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244">
        <v>0</v>
      </c>
      <c r="K39" s="64">
        <v>3</v>
      </c>
      <c r="L39" s="64">
        <v>0</v>
      </c>
      <c r="M39" s="64">
        <v>0</v>
      </c>
      <c r="N39" s="64">
        <v>0</v>
      </c>
      <c r="O39" s="244">
        <f t="shared" si="3"/>
        <v>3</v>
      </c>
    </row>
    <row r="40" spans="2:19" ht="15.75" thickBot="1" x14ac:dyDescent="0.3">
      <c r="B40" s="63" t="str">
        <f>Master!X59</f>
        <v>CHAMBERSBURG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244">
        <v>0</v>
      </c>
      <c r="K40" s="64">
        <v>0</v>
      </c>
      <c r="L40" s="64">
        <v>0</v>
      </c>
      <c r="M40" s="64">
        <v>0</v>
      </c>
      <c r="N40" s="64">
        <v>0</v>
      </c>
      <c r="O40" s="244">
        <f t="shared" si="3"/>
        <v>0</v>
      </c>
    </row>
    <row r="41" spans="2:19" ht="15.75" thickBot="1" x14ac:dyDescent="0.3">
      <c r="B41" s="63" t="str">
        <f>Master!X60</f>
        <v>ELIZABETHTOWN</v>
      </c>
      <c r="C41" s="64">
        <v>0</v>
      </c>
      <c r="D41" s="64">
        <v>0</v>
      </c>
      <c r="E41" s="64">
        <v>0</v>
      </c>
      <c r="F41" s="64">
        <v>5</v>
      </c>
      <c r="G41" s="64">
        <v>0</v>
      </c>
      <c r="H41" s="64">
        <v>0</v>
      </c>
      <c r="I41" s="64">
        <v>0</v>
      </c>
      <c r="J41" s="244">
        <v>0</v>
      </c>
      <c r="K41" s="64">
        <v>0</v>
      </c>
      <c r="L41" s="64">
        <v>0</v>
      </c>
      <c r="M41" s="64">
        <v>0</v>
      </c>
      <c r="N41" s="64">
        <v>0</v>
      </c>
      <c r="O41" s="244">
        <f t="shared" si="3"/>
        <v>5</v>
      </c>
    </row>
    <row r="42" spans="2:19" ht="15.75" thickBot="1" x14ac:dyDescent="0.3">
      <c r="B42" s="63" t="str">
        <f>Master!X61</f>
        <v>ENOLA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6</v>
      </c>
      <c r="O42" s="244">
        <f t="shared" si="3"/>
        <v>6</v>
      </c>
    </row>
    <row r="43" spans="2:19" ht="15.75" thickBot="1" x14ac:dyDescent="0.3">
      <c r="B43" s="63" t="s">
        <v>777</v>
      </c>
      <c r="C43" s="244">
        <v>0</v>
      </c>
      <c r="D43" s="244">
        <v>0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v>0</v>
      </c>
      <c r="K43" s="244">
        <v>0</v>
      </c>
      <c r="L43" s="244">
        <v>0</v>
      </c>
      <c r="M43" s="244">
        <v>0</v>
      </c>
      <c r="N43" s="244">
        <v>2</v>
      </c>
      <c r="O43" s="244">
        <f t="shared" si="3"/>
        <v>2</v>
      </c>
    </row>
    <row r="44" spans="2:19" ht="15.75" thickBot="1" x14ac:dyDescent="0.3">
      <c r="B44" s="63" t="str">
        <f>Master!X63</f>
        <v>GETTYSBURG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244">
        <v>0</v>
      </c>
      <c r="K44" s="244">
        <v>0</v>
      </c>
      <c r="L44" s="244">
        <v>0</v>
      </c>
      <c r="M44" s="244">
        <v>0</v>
      </c>
      <c r="N44" s="244">
        <v>0</v>
      </c>
      <c r="O44" s="244">
        <f t="shared" si="3"/>
        <v>0</v>
      </c>
    </row>
    <row r="45" spans="2:19" s="263" customFormat="1" ht="15.75" thickBot="1" x14ac:dyDescent="0.3">
      <c r="B45" s="63" t="str">
        <f>Master!X64</f>
        <v>GREENCASTLE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244">
        <v>0</v>
      </c>
      <c r="K45" s="244">
        <v>0</v>
      </c>
      <c r="L45" s="244">
        <v>0</v>
      </c>
      <c r="M45" s="244">
        <v>0</v>
      </c>
      <c r="N45" s="244">
        <v>0</v>
      </c>
      <c r="O45" s="244">
        <f t="shared" si="3"/>
        <v>0</v>
      </c>
      <c r="P45" s="62"/>
      <c r="Q45" s="62"/>
      <c r="R45" s="62"/>
      <c r="S45" s="62"/>
    </row>
    <row r="46" spans="2:19" ht="15.75" thickBot="1" x14ac:dyDescent="0.3">
      <c r="B46" s="63" t="str">
        <f>Master!X65</f>
        <v>HAMPDEN TOWNSHIP</v>
      </c>
      <c r="C46" s="244">
        <v>0</v>
      </c>
      <c r="D46" s="244">
        <v>0</v>
      </c>
      <c r="E46" s="244">
        <v>0</v>
      </c>
      <c r="F46" s="244">
        <v>0</v>
      </c>
      <c r="G46" s="244">
        <v>0</v>
      </c>
      <c r="H46" s="244">
        <v>0</v>
      </c>
      <c r="I46" s="244">
        <v>0</v>
      </c>
      <c r="J46" s="244">
        <v>0</v>
      </c>
      <c r="K46" s="244">
        <v>0</v>
      </c>
      <c r="L46" s="244">
        <v>0</v>
      </c>
      <c r="M46" s="244">
        <v>1</v>
      </c>
      <c r="N46" s="244">
        <v>0</v>
      </c>
      <c r="O46" s="244">
        <f t="shared" si="3"/>
        <v>1</v>
      </c>
      <c r="P46" s="263"/>
      <c r="Q46" s="263"/>
      <c r="R46" s="263"/>
      <c r="S46" s="263"/>
    </row>
    <row r="47" spans="2:19" ht="15.75" thickBot="1" x14ac:dyDescent="0.3">
      <c r="B47" s="63" t="str">
        <f>Master!X66</f>
        <v>HARRISBURG</v>
      </c>
      <c r="C47" s="64">
        <v>35</v>
      </c>
      <c r="D47" s="64">
        <v>14</v>
      </c>
      <c r="E47" s="64">
        <v>29</v>
      </c>
      <c r="F47" s="64">
        <v>18</v>
      </c>
      <c r="G47" s="64">
        <v>9</v>
      </c>
      <c r="H47" s="64">
        <v>4</v>
      </c>
      <c r="I47" s="64">
        <v>8</v>
      </c>
      <c r="J47" s="244">
        <v>12</v>
      </c>
      <c r="K47" s="244">
        <v>5</v>
      </c>
      <c r="L47" s="244">
        <v>0</v>
      </c>
      <c r="M47" s="244">
        <v>1</v>
      </c>
      <c r="N47" s="244">
        <v>24</v>
      </c>
      <c r="O47" s="244">
        <f t="shared" si="3"/>
        <v>159</v>
      </c>
    </row>
    <row r="48" spans="2:19" ht="15.75" thickBot="1" x14ac:dyDescent="0.3">
      <c r="B48" s="63" t="str">
        <f>Master!X67</f>
        <v>HUMMELSTOWN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244">
        <v>0</v>
      </c>
      <c r="K48" s="244">
        <v>0</v>
      </c>
      <c r="L48" s="244">
        <v>0</v>
      </c>
      <c r="M48" s="244">
        <v>0</v>
      </c>
      <c r="N48" s="244">
        <v>0</v>
      </c>
      <c r="O48" s="244">
        <f t="shared" si="3"/>
        <v>0</v>
      </c>
    </row>
    <row r="49" spans="2:15" ht="15.75" thickBot="1" x14ac:dyDescent="0.3">
      <c r="B49" s="63" t="str">
        <f>Master!X68</f>
        <v>LEBANON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244">
        <v>0</v>
      </c>
      <c r="K49" s="244">
        <v>0</v>
      </c>
      <c r="L49" s="244">
        <v>0</v>
      </c>
      <c r="M49" s="244">
        <v>0</v>
      </c>
      <c r="N49" s="244">
        <v>0</v>
      </c>
      <c r="O49" s="244">
        <f t="shared" si="3"/>
        <v>0</v>
      </c>
    </row>
    <row r="50" spans="2:15" ht="15.75" thickBot="1" x14ac:dyDescent="0.3">
      <c r="B50" s="63" t="str">
        <f>Master!X69</f>
        <v>MCSHERRYSTOWN</v>
      </c>
      <c r="C50" s="64">
        <v>0</v>
      </c>
      <c r="D50" s="64">
        <v>0</v>
      </c>
      <c r="E50" s="64">
        <v>0</v>
      </c>
      <c r="F50" s="64">
        <v>1</v>
      </c>
      <c r="G50" s="64">
        <v>0</v>
      </c>
      <c r="H50" s="64">
        <v>0</v>
      </c>
      <c r="I50" s="64">
        <v>0</v>
      </c>
      <c r="J50" s="244">
        <v>0</v>
      </c>
      <c r="K50" s="244">
        <v>0</v>
      </c>
      <c r="L50" s="244">
        <v>0</v>
      </c>
      <c r="M50" s="244">
        <v>0</v>
      </c>
      <c r="N50" s="244">
        <v>0</v>
      </c>
      <c r="O50" s="244">
        <f t="shared" si="3"/>
        <v>1</v>
      </c>
    </row>
    <row r="51" spans="2:15" ht="15.75" thickBot="1" x14ac:dyDescent="0.3">
      <c r="B51" s="63" t="str">
        <f>Master!X70</f>
        <v>MECHANICSBURG</v>
      </c>
      <c r="C51" s="64">
        <v>3</v>
      </c>
      <c r="D51" s="64">
        <v>3</v>
      </c>
      <c r="E51" s="64">
        <v>4</v>
      </c>
      <c r="F51" s="64">
        <v>4</v>
      </c>
      <c r="G51" s="64">
        <v>8</v>
      </c>
      <c r="H51" s="64">
        <v>3</v>
      </c>
      <c r="I51" s="64">
        <v>5</v>
      </c>
      <c r="J51" s="244">
        <v>6</v>
      </c>
      <c r="K51" s="244">
        <v>0</v>
      </c>
      <c r="L51" s="244">
        <v>1</v>
      </c>
      <c r="M51" s="244">
        <v>0</v>
      </c>
      <c r="N51" s="244">
        <v>9</v>
      </c>
      <c r="O51" s="244">
        <f t="shared" si="3"/>
        <v>46</v>
      </c>
    </row>
    <row r="52" spans="2:15" ht="15.75" thickBot="1" x14ac:dyDescent="0.3">
      <c r="B52" s="63" t="str">
        <f>Master!X71</f>
        <v>MIDDLETOWN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244">
        <v>0</v>
      </c>
      <c r="K52" s="244">
        <v>0</v>
      </c>
      <c r="L52" s="244">
        <v>0</v>
      </c>
      <c r="M52" s="244">
        <v>0</v>
      </c>
      <c r="N52" s="244">
        <v>0</v>
      </c>
      <c r="O52" s="244">
        <f t="shared" si="3"/>
        <v>0</v>
      </c>
    </row>
    <row r="53" spans="2:15" ht="15.75" thickBot="1" x14ac:dyDescent="0.3">
      <c r="B53" s="63" t="str">
        <f>Master!X72</f>
        <v>NEW CUMBERLAND</v>
      </c>
      <c r="C53" s="64">
        <v>0</v>
      </c>
      <c r="D53" s="64">
        <v>4</v>
      </c>
      <c r="E53" s="64">
        <v>3</v>
      </c>
      <c r="F53" s="64">
        <v>0</v>
      </c>
      <c r="G53" s="64">
        <v>0</v>
      </c>
      <c r="H53" s="64">
        <v>0</v>
      </c>
      <c r="I53" s="64">
        <v>0</v>
      </c>
      <c r="J53" s="244">
        <v>0</v>
      </c>
      <c r="K53" s="244">
        <v>0</v>
      </c>
      <c r="L53" s="244">
        <v>0</v>
      </c>
      <c r="M53" s="244">
        <v>0</v>
      </c>
      <c r="N53" s="244">
        <v>0</v>
      </c>
      <c r="O53" s="244">
        <f t="shared" si="3"/>
        <v>7</v>
      </c>
    </row>
    <row r="54" spans="2:15" ht="15.75" thickBot="1" x14ac:dyDescent="0.3">
      <c r="B54" s="63" t="str">
        <f>Master!X73</f>
        <v>PALMYRA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244">
        <v>0</v>
      </c>
      <c r="K54" s="244">
        <v>0</v>
      </c>
      <c r="L54" s="244">
        <v>0</v>
      </c>
      <c r="M54" s="244">
        <v>0</v>
      </c>
      <c r="N54" s="244">
        <v>0</v>
      </c>
      <c r="O54" s="244">
        <f t="shared" si="3"/>
        <v>0</v>
      </c>
    </row>
    <row r="55" spans="2:15" ht="15.75" thickBot="1" x14ac:dyDescent="0.3">
      <c r="B55" s="63" t="str">
        <f>Master!X74</f>
        <v>SHIREMANSTOWN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244">
        <v>0</v>
      </c>
      <c r="K55" s="244">
        <v>0</v>
      </c>
      <c r="L55" s="244">
        <v>0</v>
      </c>
      <c r="M55" s="244">
        <v>0</v>
      </c>
      <c r="N55" s="244">
        <v>0</v>
      </c>
      <c r="O55" s="244">
        <f t="shared" si="3"/>
        <v>0</v>
      </c>
    </row>
    <row r="56" spans="2:15" ht="15.75" thickBot="1" x14ac:dyDescent="0.3">
      <c r="B56" s="63" t="str">
        <f>Master!X75</f>
        <v>STATE COLLEGE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244">
        <v>0</v>
      </c>
      <c r="K56" s="244">
        <v>0</v>
      </c>
      <c r="L56" s="244">
        <v>0</v>
      </c>
      <c r="M56" s="244">
        <v>0</v>
      </c>
      <c r="N56" s="244">
        <v>0</v>
      </c>
      <c r="O56" s="244">
        <f t="shared" si="3"/>
        <v>0</v>
      </c>
    </row>
    <row r="57" spans="2:15" ht="15.75" thickBot="1" x14ac:dyDescent="0.3">
      <c r="B57" s="63" t="str">
        <f>Master!X76</f>
        <v>WINFIELD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244">
        <v>0</v>
      </c>
      <c r="K57" s="244">
        <v>0</v>
      </c>
      <c r="L57" s="244">
        <v>0</v>
      </c>
      <c r="M57" s="244">
        <v>0</v>
      </c>
      <c r="N57" s="244">
        <v>0</v>
      </c>
      <c r="O57" s="244">
        <f t="shared" si="3"/>
        <v>0</v>
      </c>
    </row>
    <row r="58" spans="2:15" ht="15.75" thickBot="1" x14ac:dyDescent="0.3">
      <c r="B58" s="63" t="str">
        <f>Master!X77</f>
        <v>YORK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244">
        <v>0</v>
      </c>
      <c r="K58" s="64">
        <v>0</v>
      </c>
      <c r="L58" s="64">
        <v>0</v>
      </c>
      <c r="M58" s="64">
        <v>0</v>
      </c>
      <c r="N58" s="64">
        <v>0</v>
      </c>
      <c r="O58" s="244">
        <f t="shared" si="3"/>
        <v>0</v>
      </c>
    </row>
    <row r="59" spans="2:15" ht="15.75" thickBot="1" x14ac:dyDescent="0.3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</row>
    <row r="60" spans="2:15" ht="15.75" thickBot="1" x14ac:dyDescent="0.3">
      <c r="B60" s="174" t="s">
        <v>59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6"/>
    </row>
    <row r="61" spans="2:15" ht="15.75" thickBot="1" x14ac:dyDescent="0.3">
      <c r="B61" s="63" t="str">
        <f>Master!X82</f>
        <v>ELIZABETHTOWN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244">
        <v>0</v>
      </c>
      <c r="K61" s="64">
        <v>0</v>
      </c>
      <c r="L61" s="64">
        <v>0</v>
      </c>
      <c r="M61" s="64">
        <v>0</v>
      </c>
      <c r="N61" s="64">
        <v>0</v>
      </c>
      <c r="O61" s="64">
        <f>SUM(C61:N61)</f>
        <v>0</v>
      </c>
    </row>
    <row r="62" spans="2:15" ht="15.75" thickBot="1" x14ac:dyDescent="0.3">
      <c r="B62" s="63" t="str">
        <f>Master!X83</f>
        <v>GETTYSBURG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244">
        <v>0</v>
      </c>
      <c r="K62" s="64">
        <v>0</v>
      </c>
      <c r="L62" s="64">
        <v>0</v>
      </c>
      <c r="M62" s="64">
        <v>0</v>
      </c>
      <c r="N62" s="64">
        <v>0</v>
      </c>
      <c r="O62" s="244">
        <f t="shared" ref="O62:O70" si="4">SUM(C62:N62)</f>
        <v>0</v>
      </c>
    </row>
    <row r="63" spans="2:15" ht="15.75" thickBot="1" x14ac:dyDescent="0.3">
      <c r="B63" s="63" t="str">
        <f>Master!X84</f>
        <v>HARRISBURG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244">
        <v>0</v>
      </c>
      <c r="K63" s="64">
        <v>0</v>
      </c>
      <c r="L63" s="64">
        <v>0</v>
      </c>
      <c r="M63" s="64">
        <v>0</v>
      </c>
      <c r="N63" s="64">
        <v>0</v>
      </c>
      <c r="O63" s="244">
        <f t="shared" si="4"/>
        <v>0</v>
      </c>
    </row>
    <row r="64" spans="2:15" ht="15.75" thickBot="1" x14ac:dyDescent="0.3">
      <c r="B64" s="63" t="str">
        <f>Master!X85</f>
        <v>LANCASTER</v>
      </c>
      <c r="C64" s="64">
        <v>47</v>
      </c>
      <c r="D64" s="64">
        <v>81</v>
      </c>
      <c r="E64" s="64">
        <v>83</v>
      </c>
      <c r="F64" s="64">
        <v>35</v>
      </c>
      <c r="G64" s="64">
        <v>50</v>
      </c>
      <c r="H64" s="64">
        <v>40</v>
      </c>
      <c r="I64" s="64">
        <v>41</v>
      </c>
      <c r="J64" s="244">
        <v>87</v>
      </c>
      <c r="K64" s="64">
        <v>22</v>
      </c>
      <c r="L64" s="64">
        <v>12</v>
      </c>
      <c r="M64" s="64">
        <v>9</v>
      </c>
      <c r="N64" s="64">
        <v>26</v>
      </c>
      <c r="O64" s="244">
        <f t="shared" si="4"/>
        <v>533</v>
      </c>
    </row>
    <row r="65" spans="2:15" ht="15.75" thickBot="1" x14ac:dyDescent="0.3">
      <c r="B65" s="63" t="str">
        <f>Master!X86</f>
        <v>LEOLA</v>
      </c>
      <c r="C65" s="64">
        <v>2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244">
        <v>0</v>
      </c>
      <c r="K65" s="64">
        <v>0</v>
      </c>
      <c r="L65" s="64">
        <v>0</v>
      </c>
      <c r="M65" s="64">
        <v>0</v>
      </c>
      <c r="N65" s="64">
        <v>0</v>
      </c>
      <c r="O65" s="244">
        <f t="shared" si="4"/>
        <v>2</v>
      </c>
    </row>
    <row r="66" spans="2:15" ht="15.75" thickBot="1" x14ac:dyDescent="0.3">
      <c r="B66" s="63" t="str">
        <f>Master!X87</f>
        <v>LITITZ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244">
        <v>0</v>
      </c>
      <c r="K66" s="64">
        <v>0</v>
      </c>
      <c r="L66" s="64">
        <v>0</v>
      </c>
      <c r="M66" s="64">
        <v>0</v>
      </c>
      <c r="N66" s="64">
        <v>0</v>
      </c>
      <c r="O66" s="244">
        <f t="shared" si="4"/>
        <v>0</v>
      </c>
    </row>
    <row r="67" spans="2:15" ht="15.75" thickBot="1" x14ac:dyDescent="0.3">
      <c r="B67" s="63" t="str">
        <f>Master!X88</f>
        <v>MECHANICSBURG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2</v>
      </c>
      <c r="I67" s="64">
        <v>0</v>
      </c>
      <c r="J67" s="244">
        <v>0</v>
      </c>
      <c r="K67" s="64">
        <v>0</v>
      </c>
      <c r="L67" s="64">
        <v>0</v>
      </c>
      <c r="M67" s="64">
        <v>0</v>
      </c>
      <c r="N67" s="64">
        <v>0</v>
      </c>
      <c r="O67" s="244">
        <f t="shared" si="4"/>
        <v>2</v>
      </c>
    </row>
    <row r="68" spans="2:15" ht="15.75" thickBot="1" x14ac:dyDescent="0.3">
      <c r="B68" s="63" t="str">
        <f>Master!X89</f>
        <v>MOUNT JOY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244">
        <v>0</v>
      </c>
      <c r="K68" s="64">
        <v>0</v>
      </c>
      <c r="L68" s="64">
        <v>0</v>
      </c>
      <c r="M68" s="64">
        <v>0</v>
      </c>
      <c r="N68" s="64">
        <v>0</v>
      </c>
      <c r="O68" s="244">
        <f t="shared" si="4"/>
        <v>0</v>
      </c>
    </row>
    <row r="69" spans="2:15" ht="15.75" thickBot="1" x14ac:dyDescent="0.3">
      <c r="B69" s="63" t="str">
        <f>Master!X90</f>
        <v>YORK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244">
        <v>0</v>
      </c>
      <c r="K69" s="64">
        <v>0</v>
      </c>
      <c r="L69" s="64">
        <v>0</v>
      </c>
      <c r="M69" s="64">
        <v>0</v>
      </c>
      <c r="N69" s="64">
        <v>0</v>
      </c>
      <c r="O69" s="244">
        <f t="shared" si="4"/>
        <v>0</v>
      </c>
    </row>
    <row r="70" spans="2:15" ht="15.75" thickBot="1" x14ac:dyDescent="0.3">
      <c r="B70" s="63" t="str">
        <f>Master!X91</f>
        <v>EPHRATA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244">
        <v>0</v>
      </c>
      <c r="K70" s="64">
        <v>0</v>
      </c>
      <c r="L70" s="64">
        <v>0</v>
      </c>
      <c r="M70" s="64">
        <v>0</v>
      </c>
      <c r="N70" s="64">
        <v>0</v>
      </c>
      <c r="O70" s="244">
        <f t="shared" si="4"/>
        <v>0</v>
      </c>
    </row>
    <row r="71" spans="2:15" ht="15.75" thickBot="1" x14ac:dyDescent="0.3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</row>
    <row r="72" spans="2:15" ht="15.75" thickBot="1" x14ac:dyDescent="0.3">
      <c r="B72" s="174" t="s">
        <v>1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6"/>
    </row>
    <row r="73" spans="2:15" ht="15.75" thickBot="1" x14ac:dyDescent="0.3">
      <c r="B73" s="63" t="str">
        <f>Master!X99</f>
        <v>LANCASTER</v>
      </c>
      <c r="C73" s="47">
        <v>7</v>
      </c>
      <c r="D73" s="47">
        <v>11</v>
      </c>
      <c r="E73" s="47">
        <v>5</v>
      </c>
      <c r="F73" s="47">
        <v>10</v>
      </c>
      <c r="G73" s="47">
        <v>0</v>
      </c>
      <c r="H73" s="47">
        <v>0</v>
      </c>
      <c r="I73" s="47">
        <v>10</v>
      </c>
      <c r="J73" s="47">
        <v>10</v>
      </c>
      <c r="K73" s="47">
        <v>8</v>
      </c>
      <c r="L73" s="47">
        <v>0</v>
      </c>
      <c r="M73" s="47">
        <v>1</v>
      </c>
      <c r="N73" s="47">
        <v>12</v>
      </c>
      <c r="O73" s="58">
        <f>SUM(C73:N73)</f>
        <v>74</v>
      </c>
    </row>
    <row r="74" spans="2:15" ht="15.75" thickBot="1" x14ac:dyDescent="0.3">
      <c r="B74" s="63" t="s">
        <v>274</v>
      </c>
      <c r="C74" s="143">
        <f>SUM(C37:C58,C61:C70,C73)</f>
        <v>94</v>
      </c>
      <c r="D74" s="143">
        <f>SUM(D37:D58,D61:D70,D73)</f>
        <v>113</v>
      </c>
      <c r="E74" s="143">
        <f>SUM(E37:E58,E61:E70,E73)</f>
        <v>128</v>
      </c>
      <c r="F74" s="143">
        <f>SUM(F37:F58,F61:F70,F73)</f>
        <v>73</v>
      </c>
      <c r="G74" s="143">
        <f>SUM(G37:G58,G61:G70,G73)</f>
        <v>67</v>
      </c>
      <c r="H74" s="143">
        <f>SUM(H37:H58,H61:H70,H73)</f>
        <v>49</v>
      </c>
      <c r="I74" s="143">
        <f>SUM(I37:I58,I61:I70,I73)</f>
        <v>64</v>
      </c>
      <c r="J74" s="143">
        <f>SUM(J37:J58,J61:J70,J73)</f>
        <v>115</v>
      </c>
      <c r="K74" s="143">
        <f>SUM(K37:K58,K61:K70,K73)</f>
        <v>38</v>
      </c>
      <c r="L74" s="143">
        <f>SUM(L37:L58,L61:L70,L73)</f>
        <v>13</v>
      </c>
      <c r="M74" s="143">
        <f>SUM(M37:M58,M61:M70,M73)</f>
        <v>12</v>
      </c>
      <c r="N74" s="143">
        <v>79</v>
      </c>
      <c r="O74" s="143">
        <f>SUM(O37:O58,O61:O70,O73)</f>
        <v>845</v>
      </c>
    </row>
    <row r="75" spans="2:15" ht="15.75" thickBot="1" x14ac:dyDescent="0.3">
      <c r="B75" s="177" t="s">
        <v>57</v>
      </c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9"/>
    </row>
    <row r="76" spans="2:15" ht="15.75" thickBot="1" x14ac:dyDescent="0.3">
      <c r="B76" s="167"/>
      <c r="C76" s="56" t="s">
        <v>19</v>
      </c>
      <c r="D76" s="56" t="s">
        <v>20</v>
      </c>
      <c r="E76" s="56" t="s">
        <v>21</v>
      </c>
      <c r="F76" s="56" t="s">
        <v>22</v>
      </c>
      <c r="G76" s="56" t="s">
        <v>23</v>
      </c>
      <c r="H76" s="56" t="s">
        <v>24</v>
      </c>
      <c r="I76" s="56" t="s">
        <v>25</v>
      </c>
      <c r="J76" s="56" t="s">
        <v>26</v>
      </c>
      <c r="K76" s="56" t="s">
        <v>27</v>
      </c>
      <c r="L76" s="56" t="s">
        <v>28</v>
      </c>
      <c r="M76" s="56" t="s">
        <v>29</v>
      </c>
      <c r="N76" s="56" t="s">
        <v>30</v>
      </c>
      <c r="O76" s="168" t="s">
        <v>40</v>
      </c>
    </row>
    <row r="77" spans="2:15" ht="15.75" thickBot="1" x14ac:dyDescent="0.3">
      <c r="B77" s="169"/>
      <c r="C77" s="56">
        <v>10</v>
      </c>
      <c r="D77" s="56">
        <v>11</v>
      </c>
      <c r="E77" s="56">
        <v>12</v>
      </c>
      <c r="F77" s="56">
        <v>1</v>
      </c>
      <c r="G77" s="56">
        <v>2</v>
      </c>
      <c r="H77" s="56">
        <v>3</v>
      </c>
      <c r="I77" s="56">
        <v>4</v>
      </c>
      <c r="J77" s="56">
        <v>5</v>
      </c>
      <c r="K77" s="56">
        <v>6</v>
      </c>
      <c r="L77" s="56">
        <v>7</v>
      </c>
      <c r="M77" s="56">
        <v>8</v>
      </c>
      <c r="N77" s="56">
        <v>9</v>
      </c>
      <c r="O77" s="170"/>
    </row>
    <row r="78" spans="2:15" ht="15.75" thickBot="1" x14ac:dyDescent="0.3">
      <c r="B78" s="177" t="s">
        <v>11</v>
      </c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9"/>
    </row>
    <row r="79" spans="2:15" ht="15.75" thickBot="1" x14ac:dyDescent="0.3">
      <c r="B79" s="243" t="str">
        <f>Master!X110</f>
        <v>PHILADELPHIA</v>
      </c>
      <c r="C79" s="47">
        <v>15</v>
      </c>
      <c r="D79" s="47">
        <v>21</v>
      </c>
      <c r="E79" s="47">
        <v>35</v>
      </c>
      <c r="F79" s="47">
        <v>27</v>
      </c>
      <c r="G79" s="47">
        <v>4</v>
      </c>
      <c r="H79" s="47">
        <v>13</v>
      </c>
      <c r="I79" s="47">
        <v>11</v>
      </c>
      <c r="J79" s="47">
        <v>22</v>
      </c>
      <c r="K79" s="47">
        <v>23</v>
      </c>
      <c r="L79" s="47">
        <v>0</v>
      </c>
      <c r="M79" s="47">
        <v>16</v>
      </c>
      <c r="N79" s="47">
        <v>4</v>
      </c>
      <c r="O79" s="48">
        <f>SUM(C79:N79)</f>
        <v>191</v>
      </c>
    </row>
    <row r="80" spans="2:15" ht="15.75" thickBot="1" x14ac:dyDescent="0.3"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</row>
    <row r="81" spans="2:15" ht="15.75" thickBot="1" x14ac:dyDescent="0.3">
      <c r="B81" s="177" t="s">
        <v>59</v>
      </c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9"/>
    </row>
    <row r="82" spans="2:15" ht="15.75" thickBot="1" x14ac:dyDescent="0.3">
      <c r="B82" s="243" t="str">
        <f>Master!X118</f>
        <v>BIRDSBORO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244">
        <v>0</v>
      </c>
      <c r="K82" s="64">
        <v>0</v>
      </c>
      <c r="L82" s="64">
        <v>0</v>
      </c>
      <c r="M82" s="64">
        <v>0</v>
      </c>
      <c r="N82" s="64">
        <v>0</v>
      </c>
      <c r="O82" s="64">
        <f>SUM(C82:N82)</f>
        <v>0</v>
      </c>
    </row>
    <row r="83" spans="2:15" ht="15.75" thickBot="1" x14ac:dyDescent="0.3">
      <c r="B83" s="243" t="str">
        <f>Master!X119</f>
        <v>CONSHOHOCKEN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244">
        <v>0</v>
      </c>
      <c r="K83" s="64">
        <v>0</v>
      </c>
      <c r="L83" s="64">
        <v>0</v>
      </c>
      <c r="M83" s="64">
        <v>0</v>
      </c>
      <c r="N83" s="64">
        <v>0</v>
      </c>
      <c r="O83" s="244">
        <f t="shared" ref="O83:O84" si="5">SUM(C83:N83)</f>
        <v>0</v>
      </c>
    </row>
    <row r="84" spans="2:15" ht="15.75" thickBot="1" x14ac:dyDescent="0.3">
      <c r="B84" s="243" t="str">
        <f>Master!X120</f>
        <v>PHILADELPHIA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244">
        <v>0</v>
      </c>
      <c r="K84" s="64">
        <v>0</v>
      </c>
      <c r="L84" s="64">
        <v>0</v>
      </c>
      <c r="M84" s="64">
        <v>0</v>
      </c>
      <c r="N84" s="64">
        <v>0</v>
      </c>
      <c r="O84" s="244">
        <f t="shared" si="5"/>
        <v>0</v>
      </c>
    </row>
    <row r="85" spans="2:15" ht="15.75" thickBot="1" x14ac:dyDescent="0.3"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</row>
    <row r="86" spans="2:15" ht="15.75" thickBot="1" x14ac:dyDescent="0.3">
      <c r="B86" s="177" t="s">
        <v>1</v>
      </c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9"/>
    </row>
    <row r="87" spans="2:15" ht="15.75" thickBot="1" x14ac:dyDescent="0.3">
      <c r="B87" s="243" t="str">
        <f>Master!X128</f>
        <v>PHILADELPHIA</v>
      </c>
      <c r="C87" s="64">
        <v>16</v>
      </c>
      <c r="D87" s="64">
        <v>15</v>
      </c>
      <c r="E87" s="64">
        <v>16</v>
      </c>
      <c r="F87" s="64">
        <v>18</v>
      </c>
      <c r="G87" s="64">
        <v>1</v>
      </c>
      <c r="H87" s="64">
        <v>2</v>
      </c>
      <c r="I87" s="64">
        <v>13</v>
      </c>
      <c r="J87" s="244">
        <v>8</v>
      </c>
      <c r="K87" s="64">
        <v>16</v>
      </c>
      <c r="L87" s="64">
        <v>5</v>
      </c>
      <c r="M87" s="64">
        <v>12</v>
      </c>
      <c r="N87" s="64">
        <v>0</v>
      </c>
      <c r="O87" s="64">
        <f>SUM(C87:N87)</f>
        <v>122</v>
      </c>
    </row>
    <row r="88" spans="2:15" ht="15.75" thickBot="1" x14ac:dyDescent="0.3">
      <c r="B88" s="243" t="str">
        <f>Master!X129</f>
        <v>ROSLYN</v>
      </c>
      <c r="C88" s="64">
        <v>0</v>
      </c>
      <c r="D88" s="64">
        <v>0</v>
      </c>
      <c r="E88" s="64">
        <v>2</v>
      </c>
      <c r="F88" s="64">
        <v>1</v>
      </c>
      <c r="G88" s="64">
        <v>1</v>
      </c>
      <c r="H88" s="64">
        <v>1</v>
      </c>
      <c r="I88" s="64">
        <v>0</v>
      </c>
      <c r="J88" s="244">
        <v>0</v>
      </c>
      <c r="K88" s="64">
        <v>0</v>
      </c>
      <c r="L88" s="64">
        <v>0</v>
      </c>
      <c r="M88" s="64">
        <v>0</v>
      </c>
      <c r="N88" s="64">
        <v>1</v>
      </c>
      <c r="O88" s="244">
        <f t="shared" ref="O88:O89" si="6">SUM(C88:N88)</f>
        <v>6</v>
      </c>
    </row>
    <row r="89" spans="2:15" ht="15.75" thickBot="1" x14ac:dyDescent="0.3">
      <c r="B89" s="243" t="str">
        <f>Master!X130</f>
        <v>WEST CHESTER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244">
        <v>0</v>
      </c>
      <c r="K89" s="64">
        <v>0</v>
      </c>
      <c r="L89" s="64">
        <v>0</v>
      </c>
      <c r="M89" s="64">
        <v>0</v>
      </c>
      <c r="N89" s="64">
        <v>0</v>
      </c>
      <c r="O89" s="244">
        <f t="shared" si="6"/>
        <v>0</v>
      </c>
    </row>
    <row r="90" spans="2:15" ht="15.75" thickBot="1" x14ac:dyDescent="0.3"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</row>
    <row r="91" spans="2:15" ht="15.75" thickBot="1" x14ac:dyDescent="0.3">
      <c r="B91" s="177" t="s">
        <v>5</v>
      </c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9"/>
    </row>
    <row r="92" spans="2:15" ht="15.75" thickBot="1" x14ac:dyDescent="0.3">
      <c r="B92" s="59" t="str">
        <f>Master!X138</f>
        <v>AVONDALE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244">
        <v>0</v>
      </c>
      <c r="K92" s="64">
        <v>0</v>
      </c>
      <c r="L92" s="64">
        <v>0</v>
      </c>
      <c r="M92" s="64">
        <v>0</v>
      </c>
      <c r="N92" s="64">
        <v>0</v>
      </c>
      <c r="O92" s="64">
        <f>SUM(C92:N92)</f>
        <v>0</v>
      </c>
    </row>
    <row r="93" spans="2:15" ht="15.75" thickBot="1" x14ac:dyDescent="0.3">
      <c r="B93" s="59" t="str">
        <f>Master!X139</f>
        <v>BENSALEM</v>
      </c>
      <c r="C93" s="64">
        <v>0</v>
      </c>
      <c r="D93" s="64">
        <v>0</v>
      </c>
      <c r="E93" s="64">
        <v>0</v>
      </c>
      <c r="F93" s="64">
        <v>5</v>
      </c>
      <c r="G93" s="64">
        <v>0</v>
      </c>
      <c r="H93" s="64">
        <v>0</v>
      </c>
      <c r="I93" s="64">
        <v>0</v>
      </c>
      <c r="J93" s="244">
        <v>0</v>
      </c>
      <c r="K93" s="64">
        <v>0</v>
      </c>
      <c r="L93" s="64">
        <v>0</v>
      </c>
      <c r="M93" s="64">
        <v>1</v>
      </c>
      <c r="N93" s="64">
        <v>1</v>
      </c>
      <c r="O93" s="244">
        <f t="shared" ref="O93:O120" si="7">SUM(C93:N93)</f>
        <v>7</v>
      </c>
    </row>
    <row r="94" spans="2:15" ht="15.75" thickBot="1" x14ac:dyDescent="0.3">
      <c r="B94" s="59" t="str">
        <f>Master!X140</f>
        <v>BOOTHWYN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244">
        <v>0</v>
      </c>
      <c r="K94" s="64">
        <v>0</v>
      </c>
      <c r="L94" s="64">
        <v>0</v>
      </c>
      <c r="M94" s="64">
        <v>0</v>
      </c>
      <c r="N94" s="64">
        <v>0</v>
      </c>
      <c r="O94" s="244">
        <f t="shared" si="7"/>
        <v>0</v>
      </c>
    </row>
    <row r="95" spans="2:15" ht="15.75" thickBot="1" x14ac:dyDescent="0.3">
      <c r="B95" s="59" t="str">
        <f>Master!X141</f>
        <v>BROOMALL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244">
        <v>0</v>
      </c>
      <c r="K95" s="64">
        <v>0</v>
      </c>
      <c r="L95" s="64">
        <v>0</v>
      </c>
      <c r="M95" s="64">
        <v>0</v>
      </c>
      <c r="N95" s="64">
        <v>0</v>
      </c>
      <c r="O95" s="244">
        <f t="shared" si="7"/>
        <v>0</v>
      </c>
    </row>
    <row r="96" spans="2:15" ht="15.75" thickBot="1" x14ac:dyDescent="0.3">
      <c r="B96" s="59" t="str">
        <f>Master!X142</f>
        <v>CHESTER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244">
        <v>0</v>
      </c>
      <c r="K96" s="64">
        <v>0</v>
      </c>
      <c r="L96" s="64">
        <v>0</v>
      </c>
      <c r="M96" s="64">
        <v>0</v>
      </c>
      <c r="N96" s="64">
        <v>0</v>
      </c>
      <c r="O96" s="244">
        <f t="shared" si="7"/>
        <v>0</v>
      </c>
    </row>
    <row r="97" spans="2:15" ht="15.75" thickBot="1" x14ac:dyDescent="0.3">
      <c r="B97" s="59" t="str">
        <f>Master!X143</f>
        <v>CLIFTON HEIGHTS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244">
        <v>0</v>
      </c>
      <c r="K97" s="64">
        <v>0</v>
      </c>
      <c r="L97" s="64">
        <v>0</v>
      </c>
      <c r="M97" s="64">
        <v>0</v>
      </c>
      <c r="N97" s="64">
        <v>0</v>
      </c>
      <c r="O97" s="244">
        <f t="shared" si="7"/>
        <v>0</v>
      </c>
    </row>
    <row r="98" spans="2:15" ht="15.75" thickBot="1" x14ac:dyDescent="0.3">
      <c r="B98" s="59" t="str">
        <f>Master!X144</f>
        <v>COLLEGEVILLE</v>
      </c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244">
        <v>0</v>
      </c>
      <c r="K98" s="64">
        <v>0</v>
      </c>
      <c r="L98" s="64">
        <v>0</v>
      </c>
      <c r="M98" s="64">
        <v>0</v>
      </c>
      <c r="N98" s="64">
        <v>0</v>
      </c>
      <c r="O98" s="244">
        <f t="shared" si="7"/>
        <v>0</v>
      </c>
    </row>
    <row r="99" spans="2:15" ht="15.75" thickBot="1" x14ac:dyDescent="0.3">
      <c r="B99" s="59" t="str">
        <f>Master!X145</f>
        <v>COLLINGDALE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244">
        <v>0</v>
      </c>
      <c r="K99" s="64">
        <v>0</v>
      </c>
      <c r="L99" s="64">
        <v>0</v>
      </c>
      <c r="M99" s="64">
        <v>0</v>
      </c>
      <c r="N99" s="64">
        <v>0</v>
      </c>
      <c r="O99" s="244">
        <f t="shared" si="7"/>
        <v>0</v>
      </c>
    </row>
    <row r="100" spans="2:15" ht="15.75" thickBot="1" x14ac:dyDescent="0.3">
      <c r="B100" s="59" t="str">
        <f>Master!X146</f>
        <v>CONSHOHOCKEN</v>
      </c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244">
        <v>0</v>
      </c>
      <c r="K100" s="64">
        <v>0</v>
      </c>
      <c r="L100" s="64">
        <v>0</v>
      </c>
      <c r="M100" s="64">
        <v>0</v>
      </c>
      <c r="N100" s="64">
        <v>0</v>
      </c>
      <c r="O100" s="244">
        <f t="shared" si="7"/>
        <v>0</v>
      </c>
    </row>
    <row r="101" spans="2:15" ht="15.75" thickBot="1" x14ac:dyDescent="0.3">
      <c r="B101" s="59" t="str">
        <f>Master!X147</f>
        <v>DARBY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244">
        <v>0</v>
      </c>
      <c r="K101" s="64">
        <v>0</v>
      </c>
      <c r="L101" s="64">
        <v>0</v>
      </c>
      <c r="M101" s="64">
        <v>0</v>
      </c>
      <c r="N101" s="64">
        <v>0</v>
      </c>
      <c r="O101" s="244">
        <f t="shared" si="7"/>
        <v>0</v>
      </c>
    </row>
    <row r="102" spans="2:15" ht="15.75" thickBot="1" x14ac:dyDescent="0.3">
      <c r="B102" s="59" t="str">
        <f>Master!X148</f>
        <v>DOWNINGTOWN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244">
        <v>0</v>
      </c>
      <c r="K102" s="64">
        <v>0</v>
      </c>
      <c r="L102" s="64">
        <v>0</v>
      </c>
      <c r="M102" s="64">
        <v>0</v>
      </c>
      <c r="N102" s="64">
        <v>0</v>
      </c>
      <c r="O102" s="244">
        <f t="shared" si="7"/>
        <v>0</v>
      </c>
    </row>
    <row r="103" spans="2:15" ht="15.75" thickBot="1" x14ac:dyDescent="0.3">
      <c r="B103" s="59" t="s">
        <v>108</v>
      </c>
      <c r="C103" s="244">
        <v>0</v>
      </c>
      <c r="D103" s="244">
        <v>0</v>
      </c>
      <c r="E103" s="244">
        <v>0</v>
      </c>
      <c r="F103" s="244">
        <v>0</v>
      </c>
      <c r="G103" s="244">
        <v>0</v>
      </c>
      <c r="H103" s="244">
        <v>0</v>
      </c>
      <c r="I103" s="244">
        <v>0</v>
      </c>
      <c r="J103" s="244">
        <v>0</v>
      </c>
      <c r="K103" s="244">
        <v>0</v>
      </c>
      <c r="L103" s="244">
        <v>0</v>
      </c>
      <c r="M103" s="244">
        <v>0</v>
      </c>
      <c r="N103" s="53">
        <v>1</v>
      </c>
      <c r="O103" s="244">
        <f t="shared" si="7"/>
        <v>1</v>
      </c>
    </row>
    <row r="104" spans="2:15" ht="15.75" thickBot="1" x14ac:dyDescent="0.3">
      <c r="B104" s="59" t="str">
        <f>Master!X151</f>
        <v>FEASTERVILLE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2</v>
      </c>
      <c r="J104" s="244">
        <v>0</v>
      </c>
      <c r="K104" s="64">
        <v>0</v>
      </c>
      <c r="L104" s="64">
        <v>0</v>
      </c>
      <c r="M104" s="64">
        <v>0</v>
      </c>
      <c r="N104" s="64">
        <v>0</v>
      </c>
      <c r="O104" s="244">
        <f t="shared" si="7"/>
        <v>2</v>
      </c>
    </row>
    <row r="105" spans="2:15" ht="15.75" thickBot="1" x14ac:dyDescent="0.3">
      <c r="B105" s="59" t="str">
        <f>Master!X150</f>
        <v>FEASTERVILLE TREVOSE</v>
      </c>
      <c r="C105" s="64">
        <v>0</v>
      </c>
      <c r="D105" s="64">
        <v>0</v>
      </c>
      <c r="E105" s="64">
        <v>0</v>
      </c>
      <c r="F105" s="64">
        <v>3</v>
      </c>
      <c r="G105" s="64">
        <v>0</v>
      </c>
      <c r="H105" s="64">
        <v>0</v>
      </c>
      <c r="I105" s="64">
        <v>0</v>
      </c>
      <c r="J105" s="244">
        <v>0</v>
      </c>
      <c r="K105" s="64">
        <v>0</v>
      </c>
      <c r="L105" s="64">
        <v>0</v>
      </c>
      <c r="M105" s="64">
        <v>0</v>
      </c>
      <c r="N105" s="64">
        <v>0</v>
      </c>
      <c r="O105" s="244">
        <f t="shared" si="7"/>
        <v>3</v>
      </c>
    </row>
    <row r="106" spans="2:15" ht="15.75" thickBot="1" x14ac:dyDescent="0.3">
      <c r="B106" s="59" t="str">
        <f>Master!X152</f>
        <v>HORSHAM</v>
      </c>
      <c r="C106" s="64">
        <v>0</v>
      </c>
      <c r="D106" s="64">
        <v>0</v>
      </c>
      <c r="E106" s="64">
        <v>0</v>
      </c>
      <c r="F106" s="64">
        <v>5</v>
      </c>
      <c r="G106" s="64">
        <v>0</v>
      </c>
      <c r="H106" s="64">
        <v>0</v>
      </c>
      <c r="I106" s="64">
        <v>0</v>
      </c>
      <c r="J106" s="244">
        <v>0</v>
      </c>
      <c r="K106" s="64">
        <v>0</v>
      </c>
      <c r="L106" s="64">
        <v>0</v>
      </c>
      <c r="M106" s="64">
        <v>0</v>
      </c>
      <c r="N106" s="64">
        <v>0</v>
      </c>
      <c r="O106" s="244">
        <f t="shared" si="7"/>
        <v>5</v>
      </c>
    </row>
    <row r="107" spans="2:15" ht="15.75" thickBot="1" x14ac:dyDescent="0.3">
      <c r="B107" s="59" t="str">
        <f>Master!X153</f>
        <v>HUNTINGTON VALLEY</v>
      </c>
      <c r="C107" s="244">
        <v>0</v>
      </c>
      <c r="D107" s="244">
        <v>0</v>
      </c>
      <c r="E107" s="244">
        <v>0</v>
      </c>
      <c r="F107" s="244">
        <v>0</v>
      </c>
      <c r="G107" s="244">
        <v>0</v>
      </c>
      <c r="H107" s="244">
        <v>0</v>
      </c>
      <c r="I107" s="244">
        <v>0</v>
      </c>
      <c r="J107" s="244">
        <v>4</v>
      </c>
      <c r="K107" s="244">
        <v>0</v>
      </c>
      <c r="L107" s="244">
        <v>0</v>
      </c>
      <c r="M107" s="244">
        <v>0</v>
      </c>
      <c r="N107" s="244">
        <v>0</v>
      </c>
      <c r="O107" s="244">
        <f t="shared" si="7"/>
        <v>4</v>
      </c>
    </row>
    <row r="108" spans="2:15" ht="15.75" thickBot="1" x14ac:dyDescent="0.3">
      <c r="B108" s="59" t="str">
        <f>Master!X154</f>
        <v>LANGHORNE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244">
        <v>0</v>
      </c>
      <c r="K108" s="64">
        <v>0</v>
      </c>
      <c r="L108" s="64">
        <v>0</v>
      </c>
      <c r="M108" s="64">
        <v>0</v>
      </c>
      <c r="N108" s="64">
        <v>0</v>
      </c>
      <c r="O108" s="244">
        <f t="shared" si="7"/>
        <v>0</v>
      </c>
    </row>
    <row r="109" spans="2:15" ht="15.75" thickBot="1" x14ac:dyDescent="0.3">
      <c r="B109" s="59" t="str">
        <f>Master!X155</f>
        <v>LEVITTOWN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244">
        <v>0</v>
      </c>
      <c r="K109" s="64">
        <v>0</v>
      </c>
      <c r="L109" s="64">
        <v>0</v>
      </c>
      <c r="M109" s="64">
        <v>0</v>
      </c>
      <c r="N109" s="64">
        <v>0</v>
      </c>
      <c r="O109" s="244">
        <f t="shared" si="7"/>
        <v>0</v>
      </c>
    </row>
    <row r="110" spans="2:15" ht="15.75" thickBot="1" x14ac:dyDescent="0.3">
      <c r="B110" s="59" t="str">
        <f>Master!X156</f>
        <v>MEDIA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244">
        <v>0</v>
      </c>
      <c r="K110" s="64">
        <v>0</v>
      </c>
      <c r="L110" s="64">
        <v>0</v>
      </c>
      <c r="M110" s="64">
        <v>0</v>
      </c>
      <c r="N110" s="64">
        <v>0</v>
      </c>
      <c r="O110" s="244">
        <f t="shared" si="7"/>
        <v>0</v>
      </c>
    </row>
    <row r="111" spans="2:15" ht="15.75" thickBot="1" x14ac:dyDescent="0.3">
      <c r="B111" s="59" t="str">
        <f>Master!X157</f>
        <v>NORRISTOWN</v>
      </c>
      <c r="C111" s="64">
        <v>0</v>
      </c>
      <c r="D111" s="64">
        <v>1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244">
        <v>0</v>
      </c>
      <c r="K111" s="64">
        <v>0</v>
      </c>
      <c r="L111" s="64">
        <v>0</v>
      </c>
      <c r="M111" s="64">
        <v>0</v>
      </c>
      <c r="N111" s="64">
        <v>0</v>
      </c>
      <c r="O111" s="244">
        <f t="shared" si="7"/>
        <v>1</v>
      </c>
    </row>
    <row r="112" spans="2:15" ht="15.75" thickBot="1" x14ac:dyDescent="0.3">
      <c r="B112" s="59" t="str">
        <f>Master!X158</f>
        <v>NORWOOD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244">
        <v>0</v>
      </c>
      <c r="K112" s="64">
        <v>0</v>
      </c>
      <c r="L112" s="64">
        <v>0</v>
      </c>
      <c r="M112" s="64">
        <v>0</v>
      </c>
      <c r="N112" s="64">
        <v>0</v>
      </c>
      <c r="O112" s="244">
        <f t="shared" si="7"/>
        <v>0</v>
      </c>
    </row>
    <row r="113" spans="1:19" ht="15.75" thickBot="1" x14ac:dyDescent="0.3">
      <c r="B113" s="59" t="str">
        <f>Master!X159</f>
        <v>PHILADELPHIA</v>
      </c>
      <c r="C113" s="64">
        <v>61</v>
      </c>
      <c r="D113" s="64">
        <v>33</v>
      </c>
      <c r="E113" s="64">
        <v>35</v>
      </c>
      <c r="F113" s="64">
        <v>59</v>
      </c>
      <c r="G113" s="64">
        <v>39</v>
      </c>
      <c r="H113" s="64">
        <v>11</v>
      </c>
      <c r="I113" s="64">
        <v>13</v>
      </c>
      <c r="J113" s="244">
        <v>26</v>
      </c>
      <c r="K113" s="64">
        <v>21</v>
      </c>
      <c r="L113" s="64">
        <v>3</v>
      </c>
      <c r="M113" s="64">
        <v>9</v>
      </c>
      <c r="N113" s="64">
        <v>12</v>
      </c>
      <c r="O113" s="244">
        <f t="shared" si="7"/>
        <v>322</v>
      </c>
    </row>
    <row r="114" spans="1:19" ht="15.75" thickBot="1" x14ac:dyDescent="0.3">
      <c r="B114" s="59" t="str">
        <f>Master!X160</f>
        <v>SWARTHMORE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244">
        <v>0</v>
      </c>
      <c r="K114" s="64">
        <v>0</v>
      </c>
      <c r="L114" s="64">
        <v>0</v>
      </c>
      <c r="M114" s="64">
        <v>0</v>
      </c>
      <c r="N114" s="64">
        <v>0</v>
      </c>
      <c r="O114" s="244">
        <f t="shared" si="7"/>
        <v>0</v>
      </c>
    </row>
    <row r="115" spans="1:19" ht="15.75" thickBot="1" x14ac:dyDescent="0.3">
      <c r="B115" s="59" t="str">
        <f>Master!X161</f>
        <v>TREVOSE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244">
        <v>0</v>
      </c>
      <c r="K115" s="64">
        <v>0</v>
      </c>
      <c r="L115" s="64">
        <v>0</v>
      </c>
      <c r="M115" s="64">
        <v>0</v>
      </c>
      <c r="N115" s="64">
        <v>0</v>
      </c>
      <c r="O115" s="244">
        <f t="shared" si="7"/>
        <v>0</v>
      </c>
    </row>
    <row r="116" spans="1:19" ht="15.75" thickBot="1" x14ac:dyDescent="0.3">
      <c r="B116" s="59" t="str">
        <f>Master!X162</f>
        <v>UPPER CHICHESTER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244">
        <v>0</v>
      </c>
      <c r="K116" s="64">
        <v>0</v>
      </c>
      <c r="L116" s="64">
        <v>0</v>
      </c>
      <c r="M116" s="64">
        <v>0</v>
      </c>
      <c r="N116" s="64">
        <v>0</v>
      </c>
      <c r="O116" s="244">
        <f t="shared" si="7"/>
        <v>0</v>
      </c>
    </row>
    <row r="117" spans="1:19" ht="15.75" thickBot="1" x14ac:dyDescent="0.3">
      <c r="B117" s="59" t="str">
        <f>Master!X163</f>
        <v>WARMINSTER</v>
      </c>
      <c r="C117" s="64">
        <v>6</v>
      </c>
      <c r="D117" s="64">
        <v>0</v>
      </c>
      <c r="E117" s="64">
        <v>0</v>
      </c>
      <c r="F117" s="64">
        <v>4</v>
      </c>
      <c r="G117" s="64">
        <v>0</v>
      </c>
      <c r="H117" s="64">
        <v>0</v>
      </c>
      <c r="I117" s="64">
        <v>0</v>
      </c>
      <c r="J117" s="244">
        <v>0</v>
      </c>
      <c r="K117" s="64">
        <v>0</v>
      </c>
      <c r="L117" s="64">
        <v>0</v>
      </c>
      <c r="M117" s="64">
        <v>0</v>
      </c>
      <c r="N117" s="64">
        <v>0</v>
      </c>
      <c r="O117" s="244">
        <f t="shared" si="7"/>
        <v>10</v>
      </c>
    </row>
    <row r="118" spans="1:19" s="239" customFormat="1" ht="15.75" thickBot="1" x14ac:dyDescent="0.3">
      <c r="A118" s="62"/>
      <c r="B118" s="59" t="str">
        <f>Master!X164</f>
        <v>WEST CHESTER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244">
        <v>0</v>
      </c>
      <c r="K118" s="64">
        <v>0</v>
      </c>
      <c r="L118" s="64">
        <v>1</v>
      </c>
      <c r="M118" s="64">
        <v>0</v>
      </c>
      <c r="N118" s="64">
        <v>0</v>
      </c>
      <c r="O118" s="244">
        <f t="shared" si="7"/>
        <v>1</v>
      </c>
      <c r="P118" s="62"/>
      <c r="S118" s="62"/>
    </row>
    <row r="119" spans="1:19" ht="15.75" thickBot="1" x14ac:dyDescent="0.3">
      <c r="B119" s="59" t="str">
        <f>Master!X165</f>
        <v>WILLOW GROVE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244">
        <v>0</v>
      </c>
      <c r="K119" s="64">
        <v>0</v>
      </c>
      <c r="L119" s="64">
        <v>0</v>
      </c>
      <c r="M119" s="64">
        <v>0</v>
      </c>
      <c r="N119" s="64">
        <v>0</v>
      </c>
      <c r="O119" s="244">
        <f t="shared" si="7"/>
        <v>0</v>
      </c>
      <c r="S119" s="239"/>
    </row>
    <row r="120" spans="1:19" ht="15.75" thickBot="1" x14ac:dyDescent="0.3">
      <c r="A120" s="239"/>
      <c r="B120" s="59" t="str">
        <f>Master!X166</f>
        <v>SOUTHAMPTON</v>
      </c>
      <c r="C120" s="244">
        <v>0</v>
      </c>
      <c r="D120" s="244">
        <v>5</v>
      </c>
      <c r="E120" s="244">
        <v>0</v>
      </c>
      <c r="F120" s="244">
        <v>0</v>
      </c>
      <c r="G120" s="244">
        <v>0</v>
      </c>
      <c r="H120" s="244">
        <v>0</v>
      </c>
      <c r="I120" s="244">
        <v>0</v>
      </c>
      <c r="J120" s="244">
        <v>0</v>
      </c>
      <c r="K120" s="244">
        <v>0</v>
      </c>
      <c r="L120" s="244">
        <v>0</v>
      </c>
      <c r="M120" s="244">
        <v>0</v>
      </c>
      <c r="N120" s="244">
        <v>0</v>
      </c>
      <c r="O120" s="244">
        <f t="shared" si="7"/>
        <v>5</v>
      </c>
      <c r="P120" s="239"/>
    </row>
    <row r="121" spans="1:19" s="263" customFormat="1" ht="15.75" thickBot="1" x14ac:dyDescent="0.3">
      <c r="B121" s="411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</row>
    <row r="122" spans="1:19" ht="15.75" thickBot="1" x14ac:dyDescent="0.3">
      <c r="B122" s="177" t="s">
        <v>3</v>
      </c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9"/>
    </row>
    <row r="123" spans="1:19" s="263" customFormat="1" ht="15.75" thickBot="1" x14ac:dyDescent="0.3">
      <c r="B123" s="243" t="s">
        <v>10</v>
      </c>
      <c r="C123" s="244">
        <v>0</v>
      </c>
      <c r="D123" s="244">
        <v>0</v>
      </c>
      <c r="E123" s="244">
        <v>0</v>
      </c>
      <c r="F123" s="244">
        <v>0</v>
      </c>
      <c r="G123" s="244">
        <v>0</v>
      </c>
      <c r="H123" s="244">
        <v>0</v>
      </c>
      <c r="I123" s="244">
        <v>0</v>
      </c>
      <c r="J123" s="244">
        <v>0</v>
      </c>
      <c r="K123" s="244">
        <v>0</v>
      </c>
      <c r="L123" s="244">
        <v>0</v>
      </c>
      <c r="M123" s="244">
        <v>0</v>
      </c>
      <c r="N123" s="244">
        <v>8</v>
      </c>
      <c r="O123" s="244">
        <f t="shared" ref="O123:O127" si="8">SUM(C123:N123)</f>
        <v>8</v>
      </c>
    </row>
    <row r="124" spans="1:19" s="263" customFormat="1" ht="15.75" thickBot="1" x14ac:dyDescent="0.3">
      <c r="B124" s="243" t="s">
        <v>771</v>
      </c>
      <c r="C124" s="244">
        <v>0</v>
      </c>
      <c r="D124" s="244">
        <v>0</v>
      </c>
      <c r="E124" s="244">
        <v>0</v>
      </c>
      <c r="F124" s="244">
        <v>0</v>
      </c>
      <c r="G124" s="244">
        <v>0</v>
      </c>
      <c r="H124" s="244">
        <v>0</v>
      </c>
      <c r="I124" s="244">
        <v>0</v>
      </c>
      <c r="J124" s="47">
        <v>0</v>
      </c>
      <c r="K124" s="244">
        <v>0</v>
      </c>
      <c r="L124" s="244">
        <v>9</v>
      </c>
      <c r="M124" s="244">
        <v>0</v>
      </c>
      <c r="N124" s="244">
        <v>0</v>
      </c>
      <c r="O124" s="244">
        <f t="shared" si="8"/>
        <v>9</v>
      </c>
      <c r="P124" s="62"/>
      <c r="Q124" s="62"/>
      <c r="R124" s="62"/>
      <c r="S124" s="62"/>
    </row>
    <row r="125" spans="1:19" ht="15.75" thickBot="1" x14ac:dyDescent="0.3">
      <c r="B125" s="243" t="str">
        <f>Master!X170</f>
        <v>ELKINS PARK</v>
      </c>
      <c r="C125" s="244">
        <v>0</v>
      </c>
      <c r="D125" s="244">
        <v>0</v>
      </c>
      <c r="E125" s="244">
        <v>0</v>
      </c>
      <c r="F125" s="244">
        <v>0</v>
      </c>
      <c r="G125" s="244">
        <v>0</v>
      </c>
      <c r="H125" s="244">
        <v>0</v>
      </c>
      <c r="I125" s="244">
        <v>0</v>
      </c>
      <c r="J125" s="244">
        <v>0</v>
      </c>
      <c r="K125" s="244">
        <v>0</v>
      </c>
      <c r="L125" s="244">
        <v>0</v>
      </c>
      <c r="M125" s="244">
        <v>0</v>
      </c>
      <c r="N125" s="244">
        <v>0</v>
      </c>
      <c r="O125" s="244">
        <f t="shared" si="8"/>
        <v>0</v>
      </c>
      <c r="S125" s="263"/>
    </row>
    <row r="126" spans="1:19" ht="15.75" thickBot="1" x14ac:dyDescent="0.3">
      <c r="B126" s="243" t="str">
        <f>Master!X171</f>
        <v>CHESTER</v>
      </c>
      <c r="C126" s="64">
        <v>0</v>
      </c>
      <c r="D126" s="244">
        <v>0</v>
      </c>
      <c r="E126" s="244">
        <v>0</v>
      </c>
      <c r="F126" s="244">
        <v>0</v>
      </c>
      <c r="G126" s="244">
        <v>0</v>
      </c>
      <c r="H126" s="244">
        <v>0</v>
      </c>
      <c r="I126" s="244">
        <v>2</v>
      </c>
      <c r="J126" s="244">
        <v>1</v>
      </c>
      <c r="K126" s="244">
        <v>0</v>
      </c>
      <c r="L126" s="244">
        <v>0</v>
      </c>
      <c r="M126" s="244">
        <v>5</v>
      </c>
      <c r="N126" s="244">
        <v>0</v>
      </c>
      <c r="O126" s="244">
        <f t="shared" si="8"/>
        <v>8</v>
      </c>
    </row>
    <row r="127" spans="1:19" ht="15.75" thickBot="1" x14ac:dyDescent="0.3">
      <c r="B127" s="243" t="str">
        <f>Master!X172</f>
        <v>WARMINSTER</v>
      </c>
      <c r="C127" s="244">
        <v>0</v>
      </c>
      <c r="D127" s="244">
        <v>0</v>
      </c>
      <c r="E127" s="244">
        <v>0</v>
      </c>
      <c r="F127" s="244">
        <v>0</v>
      </c>
      <c r="G127" s="244">
        <v>0</v>
      </c>
      <c r="H127" s="244">
        <v>0</v>
      </c>
      <c r="I127" s="244">
        <v>0</v>
      </c>
      <c r="J127" s="47">
        <v>6</v>
      </c>
      <c r="K127" s="244">
        <v>0</v>
      </c>
      <c r="L127" s="244">
        <v>0</v>
      </c>
      <c r="M127" s="244">
        <v>0</v>
      </c>
      <c r="N127" s="244">
        <v>0</v>
      </c>
      <c r="O127" s="244">
        <f t="shared" si="8"/>
        <v>6</v>
      </c>
    </row>
    <row r="128" spans="1:19" ht="15.75" thickBot="1" x14ac:dyDescent="0.3">
      <c r="B128" s="243" t="s">
        <v>274</v>
      </c>
      <c r="C128" s="144">
        <f>SUM(C79,C82,C82:C84,C87:C89,C92:C119,C126)</f>
        <v>98</v>
      </c>
      <c r="D128" s="144">
        <v>75</v>
      </c>
      <c r="E128" s="144">
        <v>88</v>
      </c>
      <c r="F128" s="144">
        <v>122</v>
      </c>
      <c r="G128" s="144">
        <v>45</v>
      </c>
      <c r="H128" s="144">
        <v>27</v>
      </c>
      <c r="I128" s="144">
        <v>41</v>
      </c>
      <c r="J128" s="144">
        <v>67</v>
      </c>
      <c r="K128" s="144">
        <v>60</v>
      </c>
      <c r="L128" s="144">
        <v>18</v>
      </c>
      <c r="M128" s="144">
        <v>43</v>
      </c>
      <c r="N128" s="144">
        <v>27</v>
      </c>
      <c r="O128" s="144">
        <f>SUM(C128:N128)</f>
        <v>711</v>
      </c>
    </row>
    <row r="129" spans="2:15" s="263" customFormat="1" ht="15.75" thickBot="1" x14ac:dyDescent="0.3">
      <c r="B129" s="409"/>
      <c r="C129" s="412"/>
      <c r="D129" s="412"/>
      <c r="E129" s="412"/>
      <c r="F129" s="412"/>
      <c r="G129" s="412"/>
      <c r="H129" s="412"/>
      <c r="I129" s="412"/>
      <c r="J129" s="412"/>
      <c r="K129" s="412"/>
      <c r="L129" s="412"/>
      <c r="M129" s="412"/>
      <c r="N129" s="412"/>
      <c r="O129" s="412"/>
    </row>
    <row r="130" spans="2:15" ht="15.75" thickBot="1" x14ac:dyDescent="0.3">
      <c r="B130" s="180" t="s">
        <v>90</v>
      </c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2"/>
    </row>
    <row r="131" spans="2:15" ht="15.75" thickBot="1" x14ac:dyDescent="0.3">
      <c r="B131" s="167"/>
      <c r="C131" s="56" t="s">
        <v>19</v>
      </c>
      <c r="D131" s="56" t="s">
        <v>20</v>
      </c>
      <c r="E131" s="56" t="s">
        <v>21</v>
      </c>
      <c r="F131" s="56" t="s">
        <v>22</v>
      </c>
      <c r="G131" s="56" t="s">
        <v>23</v>
      </c>
      <c r="H131" s="56" t="s">
        <v>24</v>
      </c>
      <c r="I131" s="56" t="s">
        <v>25</v>
      </c>
      <c r="J131" s="56" t="s">
        <v>26</v>
      </c>
      <c r="K131" s="56" t="s">
        <v>27</v>
      </c>
      <c r="L131" s="56" t="s">
        <v>28</v>
      </c>
      <c r="M131" s="56" t="s">
        <v>29</v>
      </c>
      <c r="N131" s="56" t="s">
        <v>30</v>
      </c>
      <c r="O131" s="168" t="s">
        <v>40</v>
      </c>
    </row>
    <row r="132" spans="2:15" ht="15.75" thickBot="1" x14ac:dyDescent="0.3">
      <c r="B132" s="169"/>
      <c r="C132" s="56">
        <v>10</v>
      </c>
      <c r="D132" s="56">
        <v>11</v>
      </c>
      <c r="E132" s="56">
        <v>12</v>
      </c>
      <c r="F132" s="56">
        <v>1</v>
      </c>
      <c r="G132" s="56">
        <v>2</v>
      </c>
      <c r="H132" s="56">
        <v>3</v>
      </c>
      <c r="I132" s="56">
        <v>4</v>
      </c>
      <c r="J132" s="56">
        <v>5</v>
      </c>
      <c r="K132" s="56">
        <v>6</v>
      </c>
      <c r="L132" s="56">
        <v>7</v>
      </c>
      <c r="M132" s="56">
        <v>8</v>
      </c>
      <c r="N132" s="56">
        <v>9</v>
      </c>
      <c r="O132" s="170"/>
    </row>
    <row r="133" spans="2:15" ht="15.75" thickBot="1" x14ac:dyDescent="0.3">
      <c r="B133" s="180" t="s">
        <v>3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</row>
    <row r="134" spans="2:15" ht="15.75" thickBot="1" x14ac:dyDescent="0.3">
      <c r="B134" s="36" t="str">
        <f>Master!X182</f>
        <v>ALLENTOWN</v>
      </c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24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f>SUM(C134:N134)</f>
        <v>0</v>
      </c>
    </row>
    <row r="135" spans="2:15" ht="15.75" thickBot="1" x14ac:dyDescent="0.3">
      <c r="B135" s="36" t="str">
        <f>Master!X183</f>
        <v>EASTON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244">
        <v>0</v>
      </c>
      <c r="K135" s="64">
        <v>0</v>
      </c>
      <c r="L135" s="64">
        <v>0</v>
      </c>
      <c r="M135" s="64">
        <v>0</v>
      </c>
      <c r="N135" s="64">
        <v>0</v>
      </c>
      <c r="O135" s="244">
        <f t="shared" ref="O135:O141" si="9">SUM(C135:N135)</f>
        <v>0</v>
      </c>
    </row>
    <row r="136" spans="2:15" ht="15.75" thickBot="1" x14ac:dyDescent="0.3">
      <c r="B136" s="36" t="str">
        <f>Master!X184</f>
        <v>KINGSTON</v>
      </c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244">
        <v>0</v>
      </c>
      <c r="K136" s="64">
        <v>0</v>
      </c>
      <c r="L136" s="64">
        <v>0</v>
      </c>
      <c r="M136" s="64">
        <v>0</v>
      </c>
      <c r="N136" s="64">
        <v>0</v>
      </c>
      <c r="O136" s="244">
        <f t="shared" si="9"/>
        <v>0</v>
      </c>
    </row>
    <row r="137" spans="2:15" ht="15.75" thickBot="1" x14ac:dyDescent="0.3">
      <c r="B137" s="36" t="str">
        <f>Master!X185</f>
        <v>NORTHAMPTON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244">
        <v>0</v>
      </c>
      <c r="K137" s="64">
        <v>0</v>
      </c>
      <c r="L137" s="64">
        <v>0</v>
      </c>
      <c r="M137" s="64">
        <v>0</v>
      </c>
      <c r="N137" s="64">
        <v>0</v>
      </c>
      <c r="O137" s="244">
        <f t="shared" si="9"/>
        <v>0</v>
      </c>
    </row>
    <row r="138" spans="2:15" ht="15.75" thickBot="1" x14ac:dyDescent="0.3">
      <c r="B138" s="36" t="str">
        <f>Master!X186</f>
        <v>SCRANTON</v>
      </c>
      <c r="C138" s="64">
        <v>16</v>
      </c>
      <c r="D138" s="64">
        <v>16</v>
      </c>
      <c r="E138" s="64">
        <v>13</v>
      </c>
      <c r="F138" s="64">
        <v>22</v>
      </c>
      <c r="G138" s="64">
        <v>1</v>
      </c>
      <c r="H138" s="64">
        <v>6</v>
      </c>
      <c r="I138" s="64">
        <v>3</v>
      </c>
      <c r="J138" s="244">
        <v>29</v>
      </c>
      <c r="K138" s="64">
        <v>0</v>
      </c>
      <c r="L138" s="64">
        <v>0</v>
      </c>
      <c r="M138" s="64">
        <v>8</v>
      </c>
      <c r="N138" s="64">
        <v>11</v>
      </c>
      <c r="O138" s="244">
        <f t="shared" si="9"/>
        <v>125</v>
      </c>
    </row>
    <row r="139" spans="2:15" ht="15.75" thickBot="1" x14ac:dyDescent="0.3">
      <c r="B139" s="36" t="str">
        <f>Master!X187</f>
        <v>TAYLOR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244">
        <v>0</v>
      </c>
      <c r="K139" s="64">
        <v>0</v>
      </c>
      <c r="L139" s="64">
        <v>0</v>
      </c>
      <c r="M139" s="64">
        <v>0</v>
      </c>
      <c r="N139" s="64">
        <v>0</v>
      </c>
      <c r="O139" s="244">
        <f t="shared" si="9"/>
        <v>0</v>
      </c>
    </row>
    <row r="140" spans="2:15" ht="15.75" thickBot="1" x14ac:dyDescent="0.3">
      <c r="B140" s="36" t="str">
        <f>Master!X188</f>
        <v>WILKES BARRE</v>
      </c>
      <c r="C140" s="64">
        <v>1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244">
        <v>0</v>
      </c>
      <c r="K140" s="64">
        <v>0</v>
      </c>
      <c r="L140" s="64">
        <v>0</v>
      </c>
      <c r="M140" s="64">
        <v>0</v>
      </c>
      <c r="N140" s="64">
        <v>0</v>
      </c>
      <c r="O140" s="244">
        <f t="shared" si="9"/>
        <v>1</v>
      </c>
    </row>
    <row r="141" spans="2:15" ht="15.75" thickBot="1" x14ac:dyDescent="0.3">
      <c r="B141" s="36" t="str">
        <f>Master!X189</f>
        <v>WILLIAMSPORT</v>
      </c>
      <c r="C141" s="64">
        <v>0</v>
      </c>
      <c r="D141" s="64">
        <v>0</v>
      </c>
      <c r="E141" s="64">
        <v>0</v>
      </c>
      <c r="F141" s="64">
        <v>0</v>
      </c>
      <c r="G141" s="64">
        <v>0</v>
      </c>
      <c r="H141" s="64">
        <v>0</v>
      </c>
      <c r="I141" s="64">
        <v>0</v>
      </c>
      <c r="J141" s="244">
        <v>0</v>
      </c>
      <c r="K141" s="64">
        <v>0</v>
      </c>
      <c r="L141" s="64">
        <v>0</v>
      </c>
      <c r="M141" s="64">
        <v>0</v>
      </c>
      <c r="N141" s="64">
        <v>0</v>
      </c>
      <c r="O141" s="244">
        <f t="shared" si="9"/>
        <v>0</v>
      </c>
    </row>
    <row r="142" spans="2:15" ht="15.75" thickBot="1" x14ac:dyDescent="0.3"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</row>
    <row r="143" spans="2:15" ht="15.75" thickBot="1" x14ac:dyDescent="0.3">
      <c r="B143" s="180" t="s">
        <v>1</v>
      </c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2"/>
    </row>
    <row r="144" spans="2:15" ht="15.75" thickBot="1" x14ac:dyDescent="0.3">
      <c r="B144" s="36" t="str">
        <f>Master!X197</f>
        <v>ALLENTOWN</v>
      </c>
      <c r="C144" s="64">
        <v>7</v>
      </c>
      <c r="D144" s="64">
        <v>14</v>
      </c>
      <c r="E144" s="64">
        <v>20</v>
      </c>
      <c r="F144" s="64">
        <v>17</v>
      </c>
      <c r="G144" s="64">
        <v>12</v>
      </c>
      <c r="H144" s="64">
        <v>0</v>
      </c>
      <c r="I144" s="64">
        <v>7</v>
      </c>
      <c r="J144" s="47">
        <v>0</v>
      </c>
      <c r="K144" s="64">
        <v>18</v>
      </c>
      <c r="L144" s="64">
        <v>3</v>
      </c>
      <c r="M144" s="64">
        <v>1</v>
      </c>
      <c r="N144" s="64">
        <v>5</v>
      </c>
      <c r="O144" s="64">
        <f>SUM(C144:N144)</f>
        <v>104</v>
      </c>
    </row>
    <row r="145" spans="2:15" ht="15.75" thickBot="1" x14ac:dyDescent="0.3">
      <c r="B145" s="36" t="s">
        <v>274</v>
      </c>
      <c r="C145" s="140">
        <f>SUM(C134:C141,C144)</f>
        <v>24</v>
      </c>
      <c r="D145" s="140">
        <f t="shared" ref="D145:M145" si="10">SUM(D134:D141,D144)</f>
        <v>30</v>
      </c>
      <c r="E145" s="140">
        <f t="shared" si="10"/>
        <v>33</v>
      </c>
      <c r="F145" s="140">
        <f t="shared" si="10"/>
        <v>39</v>
      </c>
      <c r="G145" s="140">
        <f t="shared" si="10"/>
        <v>13</v>
      </c>
      <c r="H145" s="140">
        <f t="shared" si="10"/>
        <v>6</v>
      </c>
      <c r="I145" s="140">
        <f t="shared" si="10"/>
        <v>10</v>
      </c>
      <c r="J145" s="140">
        <f t="shared" si="10"/>
        <v>29</v>
      </c>
      <c r="K145" s="140">
        <f t="shared" si="10"/>
        <v>18</v>
      </c>
      <c r="L145" s="140">
        <f t="shared" si="10"/>
        <v>3</v>
      </c>
      <c r="M145" s="140">
        <f t="shared" si="10"/>
        <v>9</v>
      </c>
      <c r="N145" s="140">
        <v>16</v>
      </c>
      <c r="O145" s="140">
        <f>SUM(O134:O141,O144)</f>
        <v>230</v>
      </c>
    </row>
    <row r="146" spans="2:15" ht="15.75" thickBot="1" x14ac:dyDescent="0.3">
      <c r="B146" s="184" t="s">
        <v>54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6"/>
    </row>
    <row r="147" spans="2:15" ht="15.75" thickBot="1" x14ac:dyDescent="0.3">
      <c r="B147" s="167"/>
      <c r="C147" s="56" t="s">
        <v>19</v>
      </c>
      <c r="D147" s="56" t="s">
        <v>20</v>
      </c>
      <c r="E147" s="56" t="s">
        <v>21</v>
      </c>
      <c r="F147" s="56" t="s">
        <v>22</v>
      </c>
      <c r="G147" s="56" t="s">
        <v>23</v>
      </c>
      <c r="H147" s="56" t="s">
        <v>24</v>
      </c>
      <c r="I147" s="56" t="s">
        <v>25</v>
      </c>
      <c r="J147" s="56" t="s">
        <v>26</v>
      </c>
      <c r="K147" s="56" t="s">
        <v>27</v>
      </c>
      <c r="L147" s="56" t="s">
        <v>28</v>
      </c>
      <c r="M147" s="56" t="s">
        <v>29</v>
      </c>
      <c r="N147" s="56" t="s">
        <v>30</v>
      </c>
      <c r="O147" s="168" t="s">
        <v>40</v>
      </c>
    </row>
    <row r="148" spans="2:15" ht="15.75" thickBot="1" x14ac:dyDescent="0.3">
      <c r="B148" s="169"/>
      <c r="C148" s="56">
        <v>10</v>
      </c>
      <c r="D148" s="56">
        <v>11</v>
      </c>
      <c r="E148" s="56">
        <v>12</v>
      </c>
      <c r="F148" s="56">
        <v>1</v>
      </c>
      <c r="G148" s="56">
        <v>2</v>
      </c>
      <c r="H148" s="56">
        <v>3</v>
      </c>
      <c r="I148" s="56">
        <v>4</v>
      </c>
      <c r="J148" s="56">
        <v>5</v>
      </c>
      <c r="K148" s="56">
        <v>6</v>
      </c>
      <c r="L148" s="56">
        <v>7</v>
      </c>
      <c r="M148" s="56">
        <v>8</v>
      </c>
      <c r="N148" s="56">
        <v>9</v>
      </c>
      <c r="O148" s="170"/>
    </row>
    <row r="149" spans="2:15" ht="15.75" thickBot="1" x14ac:dyDescent="0.3">
      <c r="B149" s="184" t="s">
        <v>3</v>
      </c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6"/>
    </row>
    <row r="150" spans="2:15" ht="15.75" thickBot="1" x14ac:dyDescent="0.3">
      <c r="B150" s="37" t="str">
        <f>Master!X207</f>
        <v>ERIE</v>
      </c>
      <c r="C150" s="64">
        <v>33</v>
      </c>
      <c r="D150" s="64">
        <v>43</v>
      </c>
      <c r="E150" s="64">
        <v>12</v>
      </c>
      <c r="F150" s="64">
        <v>25</v>
      </c>
      <c r="G150" s="64">
        <v>14</v>
      </c>
      <c r="H150" s="64">
        <v>1</v>
      </c>
      <c r="I150" s="64">
        <v>2</v>
      </c>
      <c r="J150" s="244">
        <v>12</v>
      </c>
      <c r="K150" s="64">
        <v>15</v>
      </c>
      <c r="L150" s="64">
        <v>2</v>
      </c>
      <c r="M150" s="64">
        <v>0</v>
      </c>
      <c r="N150" s="64">
        <v>4</v>
      </c>
      <c r="O150" s="64">
        <f>SUM(C150:N150)</f>
        <v>163</v>
      </c>
    </row>
    <row r="151" spans="2:15" ht="15.75" thickBot="1" x14ac:dyDescent="0.3"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</row>
    <row r="152" spans="2:15" ht="15.75" thickBot="1" x14ac:dyDescent="0.3">
      <c r="B152" s="184" t="s">
        <v>5</v>
      </c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6"/>
    </row>
    <row r="153" spans="2:15" ht="15.75" thickBot="1" x14ac:dyDescent="0.3">
      <c r="B153" s="37" t="str">
        <f>Master!X215</f>
        <v>ERIE</v>
      </c>
      <c r="C153" s="64">
        <v>45</v>
      </c>
      <c r="D153" s="64">
        <v>61</v>
      </c>
      <c r="E153" s="64">
        <v>64</v>
      </c>
      <c r="F153" s="64">
        <v>17</v>
      </c>
      <c r="G153" s="64">
        <v>28</v>
      </c>
      <c r="H153" s="64">
        <v>9</v>
      </c>
      <c r="I153" s="64">
        <v>11</v>
      </c>
      <c r="J153" s="47">
        <v>5</v>
      </c>
      <c r="K153" s="64">
        <v>28</v>
      </c>
      <c r="L153" s="64">
        <v>5</v>
      </c>
      <c r="M153" s="64">
        <v>5</v>
      </c>
      <c r="N153" s="64">
        <v>14</v>
      </c>
      <c r="O153" s="64">
        <f>SUM(C153:N153)</f>
        <v>292</v>
      </c>
    </row>
    <row r="154" spans="2:15" ht="15.75" thickBot="1" x14ac:dyDescent="0.3">
      <c r="B154" s="37" t="str">
        <f>Master!X216</f>
        <v>GIRARD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47">
        <v>0</v>
      </c>
      <c r="K154" s="64">
        <v>0</v>
      </c>
      <c r="L154" s="64">
        <v>0</v>
      </c>
      <c r="M154" s="64">
        <v>0</v>
      </c>
      <c r="N154" s="64">
        <v>0</v>
      </c>
      <c r="O154" s="244">
        <f>SUM(C154:N154)</f>
        <v>0</v>
      </c>
    </row>
    <row r="155" spans="2:15" ht="15.75" thickBot="1" x14ac:dyDescent="0.3">
      <c r="B155" s="37" t="s">
        <v>274</v>
      </c>
      <c r="C155" s="141">
        <f>SUM(C153:C154,C150)</f>
        <v>78</v>
      </c>
      <c r="D155" s="141">
        <v>104</v>
      </c>
      <c r="E155" s="141">
        <v>76</v>
      </c>
      <c r="F155" s="141">
        <v>42</v>
      </c>
      <c r="G155" s="141">
        <v>42</v>
      </c>
      <c r="H155" s="141">
        <v>10</v>
      </c>
      <c r="I155" s="141">
        <v>13</v>
      </c>
      <c r="J155" s="141">
        <v>17</v>
      </c>
      <c r="K155" s="141">
        <v>43</v>
      </c>
      <c r="L155" s="141">
        <v>7</v>
      </c>
      <c r="M155" s="141">
        <v>5</v>
      </c>
      <c r="N155" s="141">
        <v>18</v>
      </c>
      <c r="O155" s="141">
        <f>SUM(O153:O154,O150)</f>
        <v>455</v>
      </c>
    </row>
    <row r="156" spans="2:15" ht="15.75" thickBot="1" x14ac:dyDescent="0.3">
      <c r="B156" s="187" t="s">
        <v>88</v>
      </c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9"/>
    </row>
    <row r="157" spans="2:15" ht="15.75" thickBot="1" x14ac:dyDescent="0.3">
      <c r="B157" s="167"/>
      <c r="C157" s="56" t="s">
        <v>19</v>
      </c>
      <c r="D157" s="56" t="s">
        <v>20</v>
      </c>
      <c r="E157" s="56" t="s">
        <v>21</v>
      </c>
      <c r="F157" s="56" t="s">
        <v>22</v>
      </c>
      <c r="G157" s="56" t="s">
        <v>23</v>
      </c>
      <c r="H157" s="56" t="s">
        <v>24</v>
      </c>
      <c r="I157" s="56" t="s">
        <v>25</v>
      </c>
      <c r="J157" s="56" t="s">
        <v>26</v>
      </c>
      <c r="K157" s="56" t="s">
        <v>27</v>
      </c>
      <c r="L157" s="56" t="s">
        <v>28</v>
      </c>
      <c r="M157" s="56" t="s">
        <v>29</v>
      </c>
      <c r="N157" s="56" t="s">
        <v>30</v>
      </c>
      <c r="O157" s="168" t="s">
        <v>40</v>
      </c>
    </row>
    <row r="158" spans="2:15" ht="15.75" thickBot="1" x14ac:dyDescent="0.3">
      <c r="B158" s="169"/>
      <c r="C158" s="56">
        <v>10</v>
      </c>
      <c r="D158" s="56">
        <v>11</v>
      </c>
      <c r="E158" s="56">
        <v>12</v>
      </c>
      <c r="F158" s="56">
        <v>1</v>
      </c>
      <c r="G158" s="56">
        <v>2</v>
      </c>
      <c r="H158" s="56">
        <v>3</v>
      </c>
      <c r="I158" s="56">
        <v>4</v>
      </c>
      <c r="J158" s="56">
        <v>5</v>
      </c>
      <c r="K158" s="56">
        <v>6</v>
      </c>
      <c r="L158" s="56">
        <v>7</v>
      </c>
      <c r="M158" s="56">
        <v>8</v>
      </c>
      <c r="N158" s="56">
        <v>9</v>
      </c>
      <c r="O158" s="170"/>
    </row>
    <row r="159" spans="2:15" ht="15.75" thickBot="1" x14ac:dyDescent="0.3">
      <c r="B159" s="42" t="s">
        <v>17</v>
      </c>
      <c r="C159" s="64">
        <v>93</v>
      </c>
      <c r="D159" s="64">
        <v>66</v>
      </c>
      <c r="E159" s="64">
        <v>48</v>
      </c>
      <c r="F159" s="64">
        <v>49</v>
      </c>
      <c r="G159" s="64">
        <v>11</v>
      </c>
      <c r="H159" s="64">
        <v>20</v>
      </c>
      <c r="I159" s="64">
        <v>18</v>
      </c>
      <c r="J159" s="43">
        <v>41</v>
      </c>
      <c r="K159" s="64">
        <v>43</v>
      </c>
      <c r="L159" s="64">
        <v>12</v>
      </c>
      <c r="M159" s="64">
        <v>18</v>
      </c>
      <c r="N159" s="64">
        <v>38</v>
      </c>
      <c r="O159" s="64">
        <f>SUM(C159:N159)</f>
        <v>457</v>
      </c>
    </row>
    <row r="160" spans="2:15" ht="15.75" thickBot="1" x14ac:dyDescent="0.3">
      <c r="B160" s="38" t="s">
        <v>32</v>
      </c>
      <c r="C160" s="64">
        <v>94</v>
      </c>
      <c r="D160" s="64">
        <v>113</v>
      </c>
      <c r="E160" s="64">
        <v>128</v>
      </c>
      <c r="F160" s="64">
        <v>73</v>
      </c>
      <c r="G160" s="64">
        <v>67</v>
      </c>
      <c r="H160" s="64">
        <v>49</v>
      </c>
      <c r="I160" s="64">
        <v>64</v>
      </c>
      <c r="J160" s="44">
        <v>115</v>
      </c>
      <c r="K160" s="64">
        <v>38</v>
      </c>
      <c r="L160" s="64">
        <v>13</v>
      </c>
      <c r="M160" s="64">
        <v>12</v>
      </c>
      <c r="N160" s="64">
        <v>79</v>
      </c>
      <c r="O160" s="244">
        <f t="shared" ref="O160:O163" si="11">SUM(C160:N160)</f>
        <v>845</v>
      </c>
    </row>
    <row r="161" spans="2:15" ht="15.75" thickBot="1" x14ac:dyDescent="0.3">
      <c r="B161" s="40" t="s">
        <v>41</v>
      </c>
      <c r="C161" s="64">
        <v>98</v>
      </c>
      <c r="D161" s="64">
        <v>75</v>
      </c>
      <c r="E161" s="64">
        <v>88</v>
      </c>
      <c r="F161" s="64">
        <v>122</v>
      </c>
      <c r="G161" s="64">
        <v>45</v>
      </c>
      <c r="H161" s="64">
        <v>27</v>
      </c>
      <c r="I161" s="64">
        <v>41</v>
      </c>
      <c r="J161" s="44">
        <v>67</v>
      </c>
      <c r="K161" s="64">
        <v>60</v>
      </c>
      <c r="L161" s="64">
        <v>18</v>
      </c>
      <c r="M161" s="64">
        <v>43</v>
      </c>
      <c r="N161" s="64">
        <v>27</v>
      </c>
      <c r="O161" s="244">
        <f t="shared" si="11"/>
        <v>711</v>
      </c>
    </row>
    <row r="162" spans="2:15" ht="15.75" thickBot="1" x14ac:dyDescent="0.3">
      <c r="B162" s="41" t="s">
        <v>47</v>
      </c>
      <c r="C162" s="64">
        <v>24</v>
      </c>
      <c r="D162" s="64">
        <v>30</v>
      </c>
      <c r="E162" s="64">
        <v>33</v>
      </c>
      <c r="F162" s="64">
        <v>39</v>
      </c>
      <c r="G162" s="64">
        <v>13</v>
      </c>
      <c r="H162" s="64">
        <v>6</v>
      </c>
      <c r="I162" s="64">
        <v>10</v>
      </c>
      <c r="J162" s="44">
        <v>29</v>
      </c>
      <c r="K162" s="64">
        <v>18</v>
      </c>
      <c r="L162" s="64">
        <v>3</v>
      </c>
      <c r="M162" s="64">
        <v>9</v>
      </c>
      <c r="N162" s="64">
        <v>16</v>
      </c>
      <c r="O162" s="244">
        <f t="shared" si="11"/>
        <v>230</v>
      </c>
    </row>
    <row r="163" spans="2:15" ht="15.75" thickBot="1" x14ac:dyDescent="0.3">
      <c r="B163" s="39" t="s">
        <v>52</v>
      </c>
      <c r="C163" s="64">
        <v>78</v>
      </c>
      <c r="D163" s="64">
        <v>104</v>
      </c>
      <c r="E163" s="64">
        <v>76</v>
      </c>
      <c r="F163" s="64">
        <v>42</v>
      </c>
      <c r="G163" s="64">
        <v>42</v>
      </c>
      <c r="H163" s="64">
        <v>10</v>
      </c>
      <c r="I163" s="64">
        <v>13</v>
      </c>
      <c r="J163" s="45">
        <v>17</v>
      </c>
      <c r="K163" s="64">
        <v>43</v>
      </c>
      <c r="L163" s="64">
        <v>7</v>
      </c>
      <c r="M163" s="64">
        <v>5</v>
      </c>
      <c r="N163" s="64">
        <v>18</v>
      </c>
      <c r="O163" s="244">
        <f t="shared" si="11"/>
        <v>455</v>
      </c>
    </row>
    <row r="164" spans="2:15" ht="15.75" thickBot="1" x14ac:dyDescent="0.3">
      <c r="B164" s="28" t="s">
        <v>53</v>
      </c>
      <c r="C164" s="29">
        <f>SUM(C159:C163)</f>
        <v>387</v>
      </c>
      <c r="D164" s="29">
        <f t="shared" ref="D164:M164" si="12">SUM(D159:D163)</f>
        <v>388</v>
      </c>
      <c r="E164" s="29">
        <f t="shared" si="12"/>
        <v>373</v>
      </c>
      <c r="F164" s="29">
        <f t="shared" si="12"/>
        <v>325</v>
      </c>
      <c r="G164" s="29">
        <f t="shared" si="12"/>
        <v>178</v>
      </c>
      <c r="H164" s="29">
        <f t="shared" si="12"/>
        <v>112</v>
      </c>
      <c r="I164" s="29">
        <f t="shared" si="12"/>
        <v>146</v>
      </c>
      <c r="J164" s="29">
        <f t="shared" si="12"/>
        <v>269</v>
      </c>
      <c r="K164" s="29">
        <f t="shared" si="12"/>
        <v>202</v>
      </c>
      <c r="L164" s="29">
        <f>SUM(L159:L163)</f>
        <v>53</v>
      </c>
      <c r="M164" s="29">
        <f t="shared" si="12"/>
        <v>87</v>
      </c>
      <c r="N164" s="29">
        <v>178</v>
      </c>
      <c r="O164" s="29">
        <f>SUM(O159:O163)</f>
        <v>2698</v>
      </c>
    </row>
  </sheetData>
  <pageMargins left="0.7" right="0.7" top="0.75" bottom="0.75" header="0.3" footer="0.3"/>
  <pageSetup orientation="portrait" verticalDpi="599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FN600"/>
  <sheetViews>
    <sheetView showGridLines="0" zoomScale="90" zoomScaleNormal="90" workbookViewId="0">
      <pane ySplit="2" topLeftCell="A3" activePane="bottomLeft" state="frozenSplit"/>
      <selection pane="bottomLeft" activeCell="J11" sqref="J11"/>
    </sheetView>
  </sheetViews>
  <sheetFormatPr defaultRowHeight="15" x14ac:dyDescent="0.25"/>
  <cols>
    <col min="1" max="1" width="7.85546875" style="304" customWidth="1"/>
    <col min="2" max="2" width="20.7109375" style="115" customWidth="1"/>
    <col min="3" max="3" width="7.7109375" style="115" bestFit="1" customWidth="1"/>
    <col min="4" max="4" width="13" style="191" customWidth="1"/>
    <col min="5" max="7" width="5.140625" style="191" customWidth="1"/>
    <col min="8" max="8" width="24" style="191" customWidth="1"/>
    <col min="9" max="9" width="22.28515625" style="191" customWidth="1"/>
    <col min="10" max="10" width="20.5703125" style="191" customWidth="1"/>
    <col min="11" max="11" width="5.140625" style="191" customWidth="1"/>
    <col min="12" max="12" width="15.42578125" style="191" customWidth="1"/>
    <col min="13" max="13" width="5.140625" style="116" customWidth="1"/>
    <col min="14" max="14" width="10.28515625" style="191" customWidth="1"/>
    <col min="15" max="15" width="11" style="117" bestFit="1" customWidth="1"/>
    <col min="16" max="17" width="8.5703125" style="191" bestFit="1" customWidth="1"/>
    <col min="18" max="18" width="12.85546875" style="191" bestFit="1" customWidth="1"/>
    <col min="19" max="19" width="12.85546875" style="73" customWidth="1"/>
    <col min="20" max="21" width="9.140625" style="191"/>
    <col min="22" max="22" width="9.140625" style="73"/>
    <col min="23" max="23" width="9.140625" style="191"/>
    <col min="24" max="24" width="27.85546875" style="191" bestFit="1" customWidth="1"/>
    <col min="25" max="30" width="12.7109375" style="73" customWidth="1"/>
    <col min="31" max="31" width="9.140625" style="191"/>
    <col min="32" max="32" width="17" style="191" bestFit="1" customWidth="1"/>
    <col min="33" max="33" width="9.140625" style="108"/>
    <col min="34" max="34" width="9.140625" style="191"/>
    <col min="35" max="35" width="14" style="191" bestFit="1" customWidth="1"/>
    <col min="36" max="36" width="12" style="191" bestFit="1" customWidth="1"/>
    <col min="37" max="37" width="12.5703125" style="191" bestFit="1" customWidth="1"/>
    <col min="38" max="38" width="12.5703125" style="191" customWidth="1"/>
    <col min="39" max="39" width="14" style="191" bestFit="1" customWidth="1"/>
    <col min="40" max="40" width="19" style="191" bestFit="1" customWidth="1"/>
    <col min="41" max="41" width="19" style="191" customWidth="1"/>
    <col min="42" max="42" width="15.7109375" style="191" bestFit="1" customWidth="1"/>
    <col min="43" max="43" width="22.28515625" style="191" bestFit="1" customWidth="1"/>
    <col min="44" max="44" width="10.5703125" style="191" bestFit="1" customWidth="1"/>
    <col min="45" max="45" width="10.5703125" style="259" customWidth="1"/>
    <col min="46" max="46" width="14" style="191" bestFit="1" customWidth="1"/>
    <col min="47" max="47" width="14.85546875" style="191" bestFit="1" customWidth="1"/>
    <col min="48" max="48" width="14.85546875" style="191" customWidth="1"/>
    <col min="49" max="49" width="11.28515625" style="191" bestFit="1" customWidth="1"/>
    <col min="50" max="50" width="14.7109375" style="191" bestFit="1" customWidth="1"/>
    <col min="51" max="51" width="11.5703125" style="191" bestFit="1" customWidth="1"/>
    <col min="52" max="52" width="18" style="191" bestFit="1" customWidth="1"/>
    <col min="53" max="53" width="7.42578125" style="191" bestFit="1" customWidth="1"/>
    <col min="54" max="54" width="14" style="191" bestFit="1" customWidth="1"/>
    <col min="55" max="55" width="18.5703125" bestFit="1" customWidth="1"/>
    <col min="56" max="60" width="14" style="191" customWidth="1"/>
    <col min="61" max="61" width="13.7109375" style="191" bestFit="1" customWidth="1"/>
    <col min="62" max="62" width="12.140625" style="191" bestFit="1" customWidth="1"/>
    <col min="63" max="63" width="10.5703125" style="191" bestFit="1" customWidth="1"/>
    <col min="64" max="65" width="18" style="191" bestFit="1" customWidth="1"/>
    <col min="66" max="66" width="8.7109375" style="191" bestFit="1" customWidth="1"/>
    <col min="67" max="67" width="8.7109375" style="259" customWidth="1"/>
    <col min="68" max="68" width="14.5703125" style="191" bestFit="1" customWidth="1"/>
    <col min="69" max="69" width="15.140625" style="191" bestFit="1" customWidth="1"/>
    <col min="70" max="70" width="22.28515625" style="259" bestFit="1" customWidth="1"/>
    <col min="71" max="71" width="14.42578125" style="191" bestFit="1" customWidth="1"/>
    <col min="72" max="72" width="18.140625" style="191" bestFit="1" customWidth="1"/>
    <col min="73" max="73" width="11.28515625" style="191" bestFit="1" customWidth="1"/>
    <col min="74" max="74" width="17" style="191" bestFit="1" customWidth="1"/>
    <col min="75" max="75" width="18.85546875" style="191" bestFit="1" customWidth="1"/>
    <col min="76" max="76" width="15.5703125" style="191" bestFit="1" customWidth="1"/>
    <col min="77" max="77" width="20.42578125" style="191" bestFit="1" customWidth="1"/>
    <col min="78" max="78" width="11.42578125" style="191" bestFit="1" customWidth="1"/>
    <col min="79" max="79" width="19.42578125" style="191" bestFit="1" customWidth="1"/>
    <col min="80" max="80" width="16.28515625" style="191" bestFit="1" customWidth="1"/>
    <col min="81" max="81" width="11.42578125" style="191" bestFit="1" customWidth="1"/>
    <col min="82" max="82" width="7.5703125" style="191" bestFit="1" customWidth="1"/>
    <col min="83" max="83" width="13.7109375" style="191" customWidth="1"/>
    <col min="84" max="84" width="18" style="191" bestFit="1" customWidth="1"/>
    <col min="85" max="85" width="14.5703125" style="191" bestFit="1" customWidth="1"/>
    <col min="86" max="86" width="14.42578125" style="191" bestFit="1" customWidth="1"/>
    <col min="87" max="87" width="12.85546875" style="191" bestFit="1" customWidth="1"/>
    <col min="88" max="88" width="8.140625" style="191" bestFit="1" customWidth="1"/>
    <col min="89" max="89" width="7.7109375" style="191" bestFit="1" customWidth="1"/>
    <col min="90" max="90" width="18.85546875" style="191" bestFit="1" customWidth="1"/>
    <col min="91" max="91" width="13.7109375" style="191" bestFit="1" customWidth="1"/>
    <col min="92" max="92" width="7.5703125" style="191" bestFit="1" customWidth="1"/>
    <col min="93" max="93" width="10.85546875" style="191" bestFit="1" customWidth="1"/>
    <col min="94" max="94" width="10.85546875" style="191" customWidth="1"/>
    <col min="95" max="95" width="12.85546875" style="191" bestFit="1" customWidth="1"/>
    <col min="96" max="96" width="20.140625" style="191" bestFit="1" customWidth="1"/>
    <col min="97" max="100" width="14" style="191" customWidth="1"/>
    <col min="101" max="101" width="15.42578125" style="191" bestFit="1" customWidth="1"/>
    <col min="102" max="102" width="13.140625" style="191" bestFit="1" customWidth="1"/>
    <col min="103" max="103" width="18.140625" style="191" bestFit="1" customWidth="1"/>
    <col min="104" max="104" width="15.42578125" style="191" bestFit="1" customWidth="1"/>
    <col min="105" max="105" width="15.42578125" style="191" customWidth="1"/>
    <col min="106" max="106" width="15.42578125" style="191" bestFit="1" customWidth="1"/>
    <col min="107" max="107" width="9.7109375" style="191" bestFit="1" customWidth="1"/>
    <col min="108" max="108" width="15.85546875" style="191" bestFit="1" customWidth="1"/>
    <col min="109" max="109" width="15.85546875" style="191" customWidth="1"/>
    <col min="110" max="114" width="14" style="191" customWidth="1"/>
    <col min="115" max="115" width="18.42578125" style="191" bestFit="1" customWidth="1"/>
    <col min="116" max="116" width="15.140625" style="191" bestFit="1" customWidth="1"/>
    <col min="117" max="117" width="15" style="191" bestFit="1" customWidth="1"/>
    <col min="118" max="118" width="18.140625" style="191" bestFit="1" customWidth="1"/>
    <col min="119" max="119" width="8.7109375" style="191" bestFit="1" customWidth="1"/>
    <col min="120" max="120" width="18.42578125" style="191" bestFit="1" customWidth="1"/>
    <col min="121" max="121" width="18.42578125" style="259" customWidth="1"/>
    <col min="122" max="122" width="14.85546875" style="191" bestFit="1" customWidth="1"/>
    <col min="123" max="123" width="14.85546875" style="191" customWidth="1"/>
    <col min="124" max="124" width="14.140625" style="191" bestFit="1" customWidth="1"/>
    <col min="125" max="125" width="13.42578125" style="191" bestFit="1" customWidth="1"/>
    <col min="126" max="126" width="8.7109375" style="191" bestFit="1" customWidth="1"/>
    <col min="127" max="127" width="15.42578125" style="191" bestFit="1" customWidth="1"/>
    <col min="128" max="128" width="12.85546875" style="191" bestFit="1" customWidth="1"/>
    <col min="129" max="129" width="15.42578125" style="191" bestFit="1" customWidth="1"/>
    <col min="130" max="130" width="19.85546875" style="191" bestFit="1" customWidth="1"/>
    <col min="131" max="131" width="10.5703125" style="191" bestFit="1" customWidth="1"/>
    <col min="132" max="132" width="23" style="191" bestFit="1" customWidth="1"/>
    <col min="133" max="133" width="22.28515625" bestFit="1" customWidth="1"/>
    <col min="134" max="134" width="19.85546875" style="191" bestFit="1" customWidth="1"/>
    <col min="135" max="135" width="15.28515625" style="191" bestFit="1" customWidth="1"/>
    <col min="136" max="136" width="15.85546875" style="191" bestFit="1" customWidth="1"/>
    <col min="137" max="137" width="17.42578125" style="191" bestFit="1" customWidth="1"/>
    <col min="138" max="138" width="14" style="191" customWidth="1"/>
    <col min="139" max="139" width="17.42578125" style="191" customWidth="1"/>
    <col min="140" max="140" width="17.42578125" style="259" customWidth="1"/>
    <col min="141" max="141" width="14" style="191" bestFit="1" customWidth="1"/>
    <col min="142" max="142" width="14" style="191" customWidth="1"/>
    <col min="143" max="143" width="14" style="259" customWidth="1"/>
    <col min="144" max="144" width="14.85546875" bestFit="1" customWidth="1"/>
    <col min="145" max="149" width="14" style="191" customWidth="1"/>
    <col min="150" max="150" width="17.42578125" style="191" bestFit="1" customWidth="1"/>
    <col min="151" max="151" width="14" style="191" customWidth="1"/>
    <col min="152" max="152" width="9.5703125" style="191" bestFit="1" customWidth="1"/>
    <col min="153" max="153" width="15.5703125" style="191" bestFit="1" customWidth="1"/>
    <col min="154" max="154" width="16.5703125" style="191" bestFit="1" customWidth="1"/>
    <col min="155" max="155" width="16.5703125" style="191" customWidth="1"/>
    <col min="156" max="156" width="14" style="191" customWidth="1"/>
    <col min="157" max="157" width="9.5703125" style="191" bestFit="1" customWidth="1"/>
    <col min="158" max="158" width="15.5703125" style="191" bestFit="1" customWidth="1"/>
    <col min="159" max="159" width="16.5703125" style="191" bestFit="1" customWidth="1"/>
    <col min="160" max="160" width="14.140625" style="191" bestFit="1" customWidth="1"/>
    <col min="161" max="165" width="14" style="191" customWidth="1"/>
    <col min="166" max="278" width="9.140625" style="191"/>
    <col min="279" max="279" width="0.140625" style="191" customWidth="1"/>
    <col min="280" max="280" width="17.140625" style="191" customWidth="1"/>
    <col min="281" max="281" width="8.5703125" style="191" customWidth="1"/>
    <col min="282" max="290" width="0" style="191" hidden="1" customWidth="1"/>
    <col min="291" max="291" width="5.140625" style="191" customWidth="1"/>
    <col min="292" max="292" width="0" style="191" hidden="1" customWidth="1"/>
    <col min="293" max="293" width="4.140625" style="191" customWidth="1"/>
    <col min="294" max="294" width="1.7109375" style="191" customWidth="1"/>
    <col min="295" max="295" width="5.28515625" style="191" customWidth="1"/>
    <col min="296" max="296" width="12.85546875" style="191" bestFit="1" customWidth="1"/>
    <col min="297" max="297" width="12.85546875" style="191" customWidth="1"/>
    <col min="298" max="301" width="9.140625" style="191"/>
    <col min="302" max="302" width="27.85546875" style="191" bestFit="1" customWidth="1"/>
    <col min="303" max="304" width="12.7109375" style="191" customWidth="1"/>
    <col min="305" max="305" width="9.140625" style="191"/>
    <col min="306" max="306" width="17" style="191" bestFit="1" customWidth="1"/>
    <col min="307" max="308" width="9.140625" style="191"/>
    <col min="309" max="309" width="14" style="191" bestFit="1" customWidth="1"/>
    <col min="310" max="310" width="12" style="191" bestFit="1" customWidth="1"/>
    <col min="311" max="311" width="12.5703125" style="191" bestFit="1" customWidth="1"/>
    <col min="312" max="312" width="14" style="191" bestFit="1" customWidth="1"/>
    <col min="313" max="313" width="19" style="191" bestFit="1" customWidth="1"/>
    <col min="314" max="314" width="15.7109375" style="191" bestFit="1" customWidth="1"/>
    <col min="315" max="315" width="22.28515625" style="191" bestFit="1" customWidth="1"/>
    <col min="316" max="316" width="10.5703125" style="191" bestFit="1" customWidth="1"/>
    <col min="317" max="317" width="14" style="191" bestFit="1" customWidth="1"/>
    <col min="318" max="318" width="14.85546875" style="191" bestFit="1" customWidth="1"/>
    <col min="319" max="319" width="11.28515625" style="191" bestFit="1" customWidth="1"/>
    <col min="320" max="320" width="14.7109375" style="191" bestFit="1" customWidth="1"/>
    <col min="321" max="321" width="11.5703125" style="191" bestFit="1" customWidth="1"/>
    <col min="322" max="322" width="18" style="191" bestFit="1" customWidth="1"/>
    <col min="323" max="323" width="7.42578125" style="191" bestFit="1" customWidth="1"/>
    <col min="324" max="324" width="14" style="191" bestFit="1" customWidth="1"/>
    <col min="325" max="329" width="14" style="191" customWidth="1"/>
    <col min="330" max="330" width="13.7109375" style="191" bestFit="1" customWidth="1"/>
    <col min="331" max="331" width="12.140625" style="191" bestFit="1" customWidth="1"/>
    <col min="332" max="332" width="10.5703125" style="191" bestFit="1" customWidth="1"/>
    <col min="333" max="334" width="18" style="191" bestFit="1" customWidth="1"/>
    <col min="335" max="335" width="8.7109375" style="191" bestFit="1" customWidth="1"/>
    <col min="336" max="336" width="14.5703125" style="191" bestFit="1" customWidth="1"/>
    <col min="337" max="337" width="15.140625" style="191" bestFit="1" customWidth="1"/>
    <col min="338" max="338" width="14.42578125" style="191" bestFit="1" customWidth="1"/>
    <col min="339" max="339" width="18.140625" style="191" bestFit="1" customWidth="1"/>
    <col min="340" max="340" width="11.28515625" style="191" bestFit="1" customWidth="1"/>
    <col min="341" max="341" width="18.85546875" style="191" bestFit="1" customWidth="1"/>
    <col min="342" max="342" width="15.5703125" style="191" bestFit="1" customWidth="1"/>
    <col min="343" max="343" width="20.42578125" style="191" bestFit="1" customWidth="1"/>
    <col min="344" max="344" width="11.42578125" style="191" bestFit="1" customWidth="1"/>
    <col min="345" max="345" width="19.42578125" style="191" bestFit="1" customWidth="1"/>
    <col min="346" max="346" width="16.28515625" style="191" bestFit="1" customWidth="1"/>
    <col min="347" max="347" width="11.42578125" style="191" bestFit="1" customWidth="1"/>
    <col min="348" max="348" width="7.5703125" style="191" bestFit="1" customWidth="1"/>
    <col min="349" max="349" width="18" style="191" bestFit="1" customWidth="1"/>
    <col min="350" max="350" width="14.5703125" style="191" bestFit="1" customWidth="1"/>
    <col min="351" max="351" width="14.42578125" style="191" bestFit="1" customWidth="1"/>
    <col min="352" max="352" width="12.85546875" style="191" bestFit="1" customWidth="1"/>
    <col min="353" max="353" width="8.140625" style="191" bestFit="1" customWidth="1"/>
    <col min="354" max="354" width="7.7109375" style="191" bestFit="1" customWidth="1"/>
    <col min="355" max="355" width="18.85546875" style="191" bestFit="1" customWidth="1"/>
    <col min="356" max="356" width="13.7109375" style="191" bestFit="1" customWidth="1"/>
    <col min="357" max="357" width="7.5703125" style="191" bestFit="1" customWidth="1"/>
    <col min="358" max="358" width="10.85546875" style="191" bestFit="1" customWidth="1"/>
    <col min="359" max="359" width="12.85546875" style="191" bestFit="1" customWidth="1"/>
    <col min="360" max="364" width="14" style="191" customWidth="1"/>
    <col min="365" max="365" width="15.42578125" style="191" bestFit="1" customWidth="1"/>
    <col min="366" max="366" width="13.140625" style="191" bestFit="1" customWidth="1"/>
    <col min="367" max="367" width="18.140625" style="191" bestFit="1" customWidth="1"/>
    <col min="368" max="369" width="15.42578125" style="191" bestFit="1" customWidth="1"/>
    <col min="370" max="370" width="9.7109375" style="191" bestFit="1" customWidth="1"/>
    <col min="371" max="371" width="15.85546875" style="191" bestFit="1" customWidth="1"/>
    <col min="372" max="376" width="14" style="191" customWidth="1"/>
    <col min="377" max="377" width="18.42578125" style="191" bestFit="1" customWidth="1"/>
    <col min="378" max="378" width="15.140625" style="191" bestFit="1" customWidth="1"/>
    <col min="379" max="379" width="15" style="191" bestFit="1" customWidth="1"/>
    <col min="380" max="380" width="18.140625" style="191" bestFit="1" customWidth="1"/>
    <col min="381" max="381" width="8.7109375" style="191" bestFit="1" customWidth="1"/>
    <col min="382" max="382" width="18.42578125" style="191" bestFit="1" customWidth="1"/>
    <col min="383" max="383" width="14.85546875" style="191" bestFit="1" customWidth="1"/>
    <col min="384" max="384" width="14.140625" style="191" bestFit="1" customWidth="1"/>
    <col min="385" max="385" width="13.42578125" style="191" bestFit="1" customWidth="1"/>
    <col min="386" max="386" width="8.7109375" style="191" bestFit="1" customWidth="1"/>
    <col min="387" max="387" width="15.42578125" style="191" bestFit="1" customWidth="1"/>
    <col min="388" max="388" width="12.85546875" style="191" bestFit="1" customWidth="1"/>
    <col min="389" max="389" width="15.42578125" style="191" bestFit="1" customWidth="1"/>
    <col min="390" max="390" width="19.85546875" style="191" bestFit="1" customWidth="1"/>
    <col min="391" max="391" width="10.5703125" style="191" bestFit="1" customWidth="1"/>
    <col min="392" max="392" width="19.85546875" style="191" bestFit="1" customWidth="1"/>
    <col min="393" max="393" width="15.28515625" style="191" bestFit="1" customWidth="1"/>
    <col min="394" max="394" width="15.85546875" style="191" bestFit="1" customWidth="1"/>
    <col min="395" max="395" width="17.42578125" style="191" bestFit="1" customWidth="1"/>
    <col min="396" max="396" width="14" style="191" bestFit="1" customWidth="1"/>
    <col min="397" max="403" width="14" style="191" customWidth="1"/>
    <col min="404" max="404" width="17.42578125" style="191" bestFit="1" customWidth="1"/>
    <col min="405" max="405" width="14" style="191" customWidth="1"/>
    <col min="406" max="406" width="9.5703125" style="191" bestFit="1" customWidth="1"/>
    <col min="407" max="407" width="15.5703125" style="191" bestFit="1" customWidth="1"/>
    <col min="408" max="408" width="16.5703125" style="191" bestFit="1" customWidth="1"/>
    <col min="409" max="409" width="14" style="191" customWidth="1"/>
    <col min="410" max="410" width="9.5703125" style="191" bestFit="1" customWidth="1"/>
    <col min="411" max="411" width="15.5703125" style="191" bestFit="1" customWidth="1"/>
    <col min="412" max="412" width="16.5703125" style="191" bestFit="1" customWidth="1"/>
    <col min="413" max="413" width="14.140625" style="191" bestFit="1" customWidth="1"/>
    <col min="414" max="418" width="14" style="191" customWidth="1"/>
    <col min="419" max="534" width="9.140625" style="191"/>
    <col min="535" max="535" width="0.140625" style="191" customWidth="1"/>
    <col min="536" max="536" width="17.140625" style="191" customWidth="1"/>
    <col min="537" max="537" width="8.5703125" style="191" customWidth="1"/>
    <col min="538" max="546" width="0" style="191" hidden="1" customWidth="1"/>
    <col min="547" max="547" width="5.140625" style="191" customWidth="1"/>
    <col min="548" max="548" width="0" style="191" hidden="1" customWidth="1"/>
    <col min="549" max="549" width="4.140625" style="191" customWidth="1"/>
    <col min="550" max="550" width="1.7109375" style="191" customWidth="1"/>
    <col min="551" max="551" width="5.28515625" style="191" customWidth="1"/>
    <col min="552" max="552" width="12.85546875" style="191" bestFit="1" customWidth="1"/>
    <col min="553" max="553" width="12.85546875" style="191" customWidth="1"/>
    <col min="554" max="557" width="9.140625" style="191"/>
    <col min="558" max="558" width="27.85546875" style="191" bestFit="1" customWidth="1"/>
    <col min="559" max="560" width="12.7109375" style="191" customWidth="1"/>
    <col min="561" max="561" width="9.140625" style="191"/>
    <col min="562" max="562" width="17" style="191" bestFit="1" customWidth="1"/>
    <col min="563" max="564" width="9.140625" style="191"/>
    <col min="565" max="565" width="14" style="191" bestFit="1" customWidth="1"/>
    <col min="566" max="566" width="12" style="191" bestFit="1" customWidth="1"/>
    <col min="567" max="567" width="12.5703125" style="191" bestFit="1" customWidth="1"/>
    <col min="568" max="568" width="14" style="191" bestFit="1" customWidth="1"/>
    <col min="569" max="569" width="19" style="191" bestFit="1" customWidth="1"/>
    <col min="570" max="570" width="15.7109375" style="191" bestFit="1" customWidth="1"/>
    <col min="571" max="571" width="22.28515625" style="191" bestFit="1" customWidth="1"/>
    <col min="572" max="572" width="10.5703125" style="191" bestFit="1" customWidth="1"/>
    <col min="573" max="573" width="14" style="191" bestFit="1" customWidth="1"/>
    <col min="574" max="574" width="14.85546875" style="191" bestFit="1" customWidth="1"/>
    <col min="575" max="575" width="11.28515625" style="191" bestFit="1" customWidth="1"/>
    <col min="576" max="576" width="14.7109375" style="191" bestFit="1" customWidth="1"/>
    <col min="577" max="577" width="11.5703125" style="191" bestFit="1" customWidth="1"/>
    <col min="578" max="578" width="18" style="191" bestFit="1" customWidth="1"/>
    <col min="579" max="579" width="7.42578125" style="191" bestFit="1" customWidth="1"/>
    <col min="580" max="580" width="14" style="191" bestFit="1" customWidth="1"/>
    <col min="581" max="585" width="14" style="191" customWidth="1"/>
    <col min="586" max="586" width="13.7109375" style="191" bestFit="1" customWidth="1"/>
    <col min="587" max="587" width="12.140625" style="191" bestFit="1" customWidth="1"/>
    <col min="588" max="588" width="10.5703125" style="191" bestFit="1" customWidth="1"/>
    <col min="589" max="590" width="18" style="191" bestFit="1" customWidth="1"/>
    <col min="591" max="591" width="8.7109375" style="191" bestFit="1" customWidth="1"/>
    <col min="592" max="592" width="14.5703125" style="191" bestFit="1" customWidth="1"/>
    <col min="593" max="593" width="15.140625" style="191" bestFit="1" customWidth="1"/>
    <col min="594" max="594" width="14.42578125" style="191" bestFit="1" customWidth="1"/>
    <col min="595" max="595" width="18.140625" style="191" bestFit="1" customWidth="1"/>
    <col min="596" max="596" width="11.28515625" style="191" bestFit="1" customWidth="1"/>
    <col min="597" max="597" width="18.85546875" style="191" bestFit="1" customWidth="1"/>
    <col min="598" max="598" width="15.5703125" style="191" bestFit="1" customWidth="1"/>
    <col min="599" max="599" width="20.42578125" style="191" bestFit="1" customWidth="1"/>
    <col min="600" max="600" width="11.42578125" style="191" bestFit="1" customWidth="1"/>
    <col min="601" max="601" width="19.42578125" style="191" bestFit="1" customWidth="1"/>
    <col min="602" max="602" width="16.28515625" style="191" bestFit="1" customWidth="1"/>
    <col min="603" max="603" width="11.42578125" style="191" bestFit="1" customWidth="1"/>
    <col min="604" max="604" width="7.5703125" style="191" bestFit="1" customWidth="1"/>
    <col min="605" max="605" width="18" style="191" bestFit="1" customWidth="1"/>
    <col min="606" max="606" width="14.5703125" style="191" bestFit="1" customWidth="1"/>
    <col min="607" max="607" width="14.42578125" style="191" bestFit="1" customWidth="1"/>
    <col min="608" max="608" width="12.85546875" style="191" bestFit="1" customWidth="1"/>
    <col min="609" max="609" width="8.140625" style="191" bestFit="1" customWidth="1"/>
    <col min="610" max="610" width="7.7109375" style="191" bestFit="1" customWidth="1"/>
    <col min="611" max="611" width="18.85546875" style="191" bestFit="1" customWidth="1"/>
    <col min="612" max="612" width="13.7109375" style="191" bestFit="1" customWidth="1"/>
    <col min="613" max="613" width="7.5703125" style="191" bestFit="1" customWidth="1"/>
    <col min="614" max="614" width="10.85546875" style="191" bestFit="1" customWidth="1"/>
    <col min="615" max="615" width="12.85546875" style="191" bestFit="1" customWidth="1"/>
    <col min="616" max="620" width="14" style="191" customWidth="1"/>
    <col min="621" max="621" width="15.42578125" style="191" bestFit="1" customWidth="1"/>
    <col min="622" max="622" width="13.140625" style="191" bestFit="1" customWidth="1"/>
    <col min="623" max="623" width="18.140625" style="191" bestFit="1" customWidth="1"/>
    <col min="624" max="625" width="15.42578125" style="191" bestFit="1" customWidth="1"/>
    <col min="626" max="626" width="9.7109375" style="191" bestFit="1" customWidth="1"/>
    <col min="627" max="627" width="15.85546875" style="191" bestFit="1" customWidth="1"/>
    <col min="628" max="632" width="14" style="191" customWidth="1"/>
    <col min="633" max="633" width="18.42578125" style="191" bestFit="1" customWidth="1"/>
    <col min="634" max="634" width="15.140625" style="191" bestFit="1" customWidth="1"/>
    <col min="635" max="635" width="15" style="191" bestFit="1" customWidth="1"/>
    <col min="636" max="636" width="18.140625" style="191" bestFit="1" customWidth="1"/>
    <col min="637" max="637" width="8.7109375" style="191" bestFit="1" customWidth="1"/>
    <col min="638" max="638" width="18.42578125" style="191" bestFit="1" customWidth="1"/>
    <col min="639" max="639" width="14.85546875" style="191" bestFit="1" customWidth="1"/>
    <col min="640" max="640" width="14.140625" style="191" bestFit="1" customWidth="1"/>
    <col min="641" max="641" width="13.42578125" style="191" bestFit="1" customWidth="1"/>
    <col min="642" max="642" width="8.7109375" style="191" bestFit="1" customWidth="1"/>
    <col min="643" max="643" width="15.42578125" style="191" bestFit="1" customWidth="1"/>
    <col min="644" max="644" width="12.85546875" style="191" bestFit="1" customWidth="1"/>
    <col min="645" max="645" width="15.42578125" style="191" bestFit="1" customWidth="1"/>
    <col min="646" max="646" width="19.85546875" style="191" bestFit="1" customWidth="1"/>
    <col min="647" max="647" width="10.5703125" style="191" bestFit="1" customWidth="1"/>
    <col min="648" max="648" width="19.85546875" style="191" bestFit="1" customWidth="1"/>
    <col min="649" max="649" width="15.28515625" style="191" bestFit="1" customWidth="1"/>
    <col min="650" max="650" width="15.85546875" style="191" bestFit="1" customWidth="1"/>
    <col min="651" max="651" width="17.42578125" style="191" bestFit="1" customWidth="1"/>
    <col min="652" max="652" width="14" style="191" bestFit="1" customWidth="1"/>
    <col min="653" max="659" width="14" style="191" customWidth="1"/>
    <col min="660" max="660" width="17.42578125" style="191" bestFit="1" customWidth="1"/>
    <col min="661" max="661" width="14" style="191" customWidth="1"/>
    <col min="662" max="662" width="9.5703125" style="191" bestFit="1" customWidth="1"/>
    <col min="663" max="663" width="15.5703125" style="191" bestFit="1" customWidth="1"/>
    <col min="664" max="664" width="16.5703125" style="191" bestFit="1" customWidth="1"/>
    <col min="665" max="665" width="14" style="191" customWidth="1"/>
    <col min="666" max="666" width="9.5703125" style="191" bestFit="1" customWidth="1"/>
    <col min="667" max="667" width="15.5703125" style="191" bestFit="1" customWidth="1"/>
    <col min="668" max="668" width="16.5703125" style="191" bestFit="1" customWidth="1"/>
    <col min="669" max="669" width="14.140625" style="191" bestFit="1" customWidth="1"/>
    <col min="670" max="674" width="14" style="191" customWidth="1"/>
    <col min="675" max="790" width="9.140625" style="191"/>
    <col min="791" max="791" width="0.140625" style="191" customWidth="1"/>
    <col min="792" max="792" width="17.140625" style="191" customWidth="1"/>
    <col min="793" max="793" width="8.5703125" style="191" customWidth="1"/>
    <col min="794" max="802" width="0" style="191" hidden="1" customWidth="1"/>
    <col min="803" max="803" width="5.140625" style="191" customWidth="1"/>
    <col min="804" max="804" width="0" style="191" hidden="1" customWidth="1"/>
    <col min="805" max="805" width="4.140625" style="191" customWidth="1"/>
    <col min="806" max="806" width="1.7109375" style="191" customWidth="1"/>
    <col min="807" max="807" width="5.28515625" style="191" customWidth="1"/>
    <col min="808" max="808" width="12.85546875" style="191" bestFit="1" customWidth="1"/>
    <col min="809" max="809" width="12.85546875" style="191" customWidth="1"/>
    <col min="810" max="813" width="9.140625" style="191"/>
    <col min="814" max="814" width="27.85546875" style="191" bestFit="1" customWidth="1"/>
    <col min="815" max="816" width="12.7109375" style="191" customWidth="1"/>
    <col min="817" max="817" width="9.140625" style="191"/>
    <col min="818" max="818" width="17" style="191" bestFit="1" customWidth="1"/>
    <col min="819" max="820" width="9.140625" style="191"/>
    <col min="821" max="821" width="14" style="191" bestFit="1" customWidth="1"/>
    <col min="822" max="822" width="12" style="191" bestFit="1" customWidth="1"/>
    <col min="823" max="823" width="12.5703125" style="191" bestFit="1" customWidth="1"/>
    <col min="824" max="824" width="14" style="191" bestFit="1" customWidth="1"/>
    <col min="825" max="825" width="19" style="191" bestFit="1" customWidth="1"/>
    <col min="826" max="826" width="15.7109375" style="191" bestFit="1" customWidth="1"/>
    <col min="827" max="827" width="22.28515625" style="191" bestFit="1" customWidth="1"/>
    <col min="828" max="828" width="10.5703125" style="191" bestFit="1" customWidth="1"/>
    <col min="829" max="829" width="14" style="191" bestFit="1" customWidth="1"/>
    <col min="830" max="830" width="14.85546875" style="191" bestFit="1" customWidth="1"/>
    <col min="831" max="831" width="11.28515625" style="191" bestFit="1" customWidth="1"/>
    <col min="832" max="832" width="14.7109375" style="191" bestFit="1" customWidth="1"/>
    <col min="833" max="833" width="11.5703125" style="191" bestFit="1" customWidth="1"/>
    <col min="834" max="834" width="18" style="191" bestFit="1" customWidth="1"/>
    <col min="835" max="835" width="7.42578125" style="191" bestFit="1" customWidth="1"/>
    <col min="836" max="836" width="14" style="191" bestFit="1" customWidth="1"/>
    <col min="837" max="841" width="14" style="191" customWidth="1"/>
    <col min="842" max="842" width="13.7109375" style="191" bestFit="1" customWidth="1"/>
    <col min="843" max="843" width="12.140625" style="191" bestFit="1" customWidth="1"/>
    <col min="844" max="844" width="10.5703125" style="191" bestFit="1" customWidth="1"/>
    <col min="845" max="846" width="18" style="191" bestFit="1" customWidth="1"/>
    <col min="847" max="847" width="8.7109375" style="191" bestFit="1" customWidth="1"/>
    <col min="848" max="848" width="14.5703125" style="191" bestFit="1" customWidth="1"/>
    <col min="849" max="849" width="15.140625" style="191" bestFit="1" customWidth="1"/>
    <col min="850" max="850" width="14.42578125" style="191" bestFit="1" customWidth="1"/>
    <col min="851" max="851" width="18.140625" style="191" bestFit="1" customWidth="1"/>
    <col min="852" max="852" width="11.28515625" style="191" bestFit="1" customWidth="1"/>
    <col min="853" max="853" width="18.85546875" style="191" bestFit="1" customWidth="1"/>
    <col min="854" max="854" width="15.5703125" style="191" bestFit="1" customWidth="1"/>
    <col min="855" max="855" width="20.42578125" style="191" bestFit="1" customWidth="1"/>
    <col min="856" max="856" width="11.42578125" style="191" bestFit="1" customWidth="1"/>
    <col min="857" max="857" width="19.42578125" style="191" bestFit="1" customWidth="1"/>
    <col min="858" max="858" width="16.28515625" style="191" bestFit="1" customWidth="1"/>
    <col min="859" max="859" width="11.42578125" style="191" bestFit="1" customWidth="1"/>
    <col min="860" max="860" width="7.5703125" style="191" bestFit="1" customWidth="1"/>
    <col min="861" max="861" width="18" style="191" bestFit="1" customWidth="1"/>
    <col min="862" max="862" width="14.5703125" style="191" bestFit="1" customWidth="1"/>
    <col min="863" max="863" width="14.42578125" style="191" bestFit="1" customWidth="1"/>
    <col min="864" max="864" width="12.85546875" style="191" bestFit="1" customWidth="1"/>
    <col min="865" max="865" width="8.140625" style="191" bestFit="1" customWidth="1"/>
    <col min="866" max="866" width="7.7109375" style="191" bestFit="1" customWidth="1"/>
    <col min="867" max="867" width="18.85546875" style="191" bestFit="1" customWidth="1"/>
    <col min="868" max="868" width="13.7109375" style="191" bestFit="1" customWidth="1"/>
    <col min="869" max="869" width="7.5703125" style="191" bestFit="1" customWidth="1"/>
    <col min="870" max="870" width="10.85546875" style="191" bestFit="1" customWidth="1"/>
    <col min="871" max="871" width="12.85546875" style="191" bestFit="1" customWidth="1"/>
    <col min="872" max="876" width="14" style="191" customWidth="1"/>
    <col min="877" max="877" width="15.42578125" style="191" bestFit="1" customWidth="1"/>
    <col min="878" max="878" width="13.140625" style="191" bestFit="1" customWidth="1"/>
    <col min="879" max="879" width="18.140625" style="191" bestFit="1" customWidth="1"/>
    <col min="880" max="881" width="15.42578125" style="191" bestFit="1" customWidth="1"/>
    <col min="882" max="882" width="9.7109375" style="191" bestFit="1" customWidth="1"/>
    <col min="883" max="883" width="15.85546875" style="191" bestFit="1" customWidth="1"/>
    <col min="884" max="888" width="14" style="191" customWidth="1"/>
    <col min="889" max="889" width="18.42578125" style="191" bestFit="1" customWidth="1"/>
    <col min="890" max="890" width="15.140625" style="191" bestFit="1" customWidth="1"/>
    <col min="891" max="891" width="15" style="191" bestFit="1" customWidth="1"/>
    <col min="892" max="892" width="18.140625" style="191" bestFit="1" customWidth="1"/>
    <col min="893" max="893" width="8.7109375" style="191" bestFit="1" customWidth="1"/>
    <col min="894" max="894" width="18.42578125" style="191" bestFit="1" customWidth="1"/>
    <col min="895" max="895" width="14.85546875" style="191" bestFit="1" customWidth="1"/>
    <col min="896" max="896" width="14.140625" style="191" bestFit="1" customWidth="1"/>
    <col min="897" max="897" width="13.42578125" style="191" bestFit="1" customWidth="1"/>
    <col min="898" max="898" width="8.7109375" style="191" bestFit="1" customWidth="1"/>
    <col min="899" max="899" width="15.42578125" style="191" bestFit="1" customWidth="1"/>
    <col min="900" max="900" width="12.85546875" style="191" bestFit="1" customWidth="1"/>
    <col min="901" max="901" width="15.42578125" style="191" bestFit="1" customWidth="1"/>
    <col min="902" max="902" width="19.85546875" style="191" bestFit="1" customWidth="1"/>
    <col min="903" max="903" width="10.5703125" style="191" bestFit="1" customWidth="1"/>
    <col min="904" max="904" width="19.85546875" style="191" bestFit="1" customWidth="1"/>
    <col min="905" max="905" width="15.28515625" style="191" bestFit="1" customWidth="1"/>
    <col min="906" max="906" width="15.85546875" style="191" bestFit="1" customWidth="1"/>
    <col min="907" max="907" width="17.42578125" style="191" bestFit="1" customWidth="1"/>
    <col min="908" max="908" width="14" style="191" bestFit="1" customWidth="1"/>
    <col min="909" max="915" width="14" style="191" customWidth="1"/>
    <col min="916" max="916" width="17.42578125" style="191" bestFit="1" customWidth="1"/>
    <col min="917" max="917" width="14" style="191" customWidth="1"/>
    <col min="918" max="918" width="9.5703125" style="191" bestFit="1" customWidth="1"/>
    <col min="919" max="919" width="15.5703125" style="191" bestFit="1" customWidth="1"/>
    <col min="920" max="920" width="16.5703125" style="191" bestFit="1" customWidth="1"/>
    <col min="921" max="921" width="14" style="191" customWidth="1"/>
    <col min="922" max="922" width="9.5703125" style="191" bestFit="1" customWidth="1"/>
    <col min="923" max="923" width="15.5703125" style="191" bestFit="1" customWidth="1"/>
    <col min="924" max="924" width="16.5703125" style="191" bestFit="1" customWidth="1"/>
    <col min="925" max="925" width="14.140625" style="191" bestFit="1" customWidth="1"/>
    <col min="926" max="930" width="14" style="191" customWidth="1"/>
    <col min="931" max="1046" width="9.140625" style="191"/>
    <col min="1047" max="1047" width="0.140625" style="191" customWidth="1"/>
    <col min="1048" max="1048" width="17.140625" style="191" customWidth="1"/>
    <col min="1049" max="1049" width="8.5703125" style="191" customWidth="1"/>
    <col min="1050" max="1058" width="0" style="191" hidden="1" customWidth="1"/>
    <col min="1059" max="1059" width="5.140625" style="191" customWidth="1"/>
    <col min="1060" max="1060" width="0" style="191" hidden="1" customWidth="1"/>
    <col min="1061" max="1061" width="4.140625" style="191" customWidth="1"/>
    <col min="1062" max="1062" width="1.7109375" style="191" customWidth="1"/>
    <col min="1063" max="1063" width="5.28515625" style="191" customWidth="1"/>
    <col min="1064" max="1064" width="12.85546875" style="191" bestFit="1" customWidth="1"/>
    <col min="1065" max="1065" width="12.85546875" style="191" customWidth="1"/>
    <col min="1066" max="1069" width="9.140625" style="191"/>
    <col min="1070" max="1070" width="27.85546875" style="191" bestFit="1" customWidth="1"/>
    <col min="1071" max="1072" width="12.7109375" style="191" customWidth="1"/>
    <col min="1073" max="1073" width="9.140625" style="191"/>
    <col min="1074" max="1074" width="17" style="191" bestFit="1" customWidth="1"/>
    <col min="1075" max="1076" width="9.140625" style="191"/>
    <col min="1077" max="1077" width="14" style="191" bestFit="1" customWidth="1"/>
    <col min="1078" max="1078" width="12" style="191" bestFit="1" customWidth="1"/>
    <col min="1079" max="1079" width="12.5703125" style="191" bestFit="1" customWidth="1"/>
    <col min="1080" max="1080" width="14" style="191" bestFit="1" customWidth="1"/>
    <col min="1081" max="1081" width="19" style="191" bestFit="1" customWidth="1"/>
    <col min="1082" max="1082" width="15.7109375" style="191" bestFit="1" customWidth="1"/>
    <col min="1083" max="1083" width="22.28515625" style="191" bestFit="1" customWidth="1"/>
    <col min="1084" max="1084" width="10.5703125" style="191" bestFit="1" customWidth="1"/>
    <col min="1085" max="1085" width="14" style="191" bestFit="1" customWidth="1"/>
    <col min="1086" max="1086" width="14.85546875" style="191" bestFit="1" customWidth="1"/>
    <col min="1087" max="1087" width="11.28515625" style="191" bestFit="1" customWidth="1"/>
    <col min="1088" max="1088" width="14.7109375" style="191" bestFit="1" customWidth="1"/>
    <col min="1089" max="1089" width="11.5703125" style="191" bestFit="1" customWidth="1"/>
    <col min="1090" max="1090" width="18" style="191" bestFit="1" customWidth="1"/>
    <col min="1091" max="1091" width="7.42578125" style="191" bestFit="1" customWidth="1"/>
    <col min="1092" max="1092" width="14" style="191" bestFit="1" customWidth="1"/>
    <col min="1093" max="1097" width="14" style="191" customWidth="1"/>
    <col min="1098" max="1098" width="13.7109375" style="191" bestFit="1" customWidth="1"/>
    <col min="1099" max="1099" width="12.140625" style="191" bestFit="1" customWidth="1"/>
    <col min="1100" max="1100" width="10.5703125" style="191" bestFit="1" customWidth="1"/>
    <col min="1101" max="1102" width="18" style="191" bestFit="1" customWidth="1"/>
    <col min="1103" max="1103" width="8.7109375" style="191" bestFit="1" customWidth="1"/>
    <col min="1104" max="1104" width="14.5703125" style="191" bestFit="1" customWidth="1"/>
    <col min="1105" max="1105" width="15.140625" style="191" bestFit="1" customWidth="1"/>
    <col min="1106" max="1106" width="14.42578125" style="191" bestFit="1" customWidth="1"/>
    <col min="1107" max="1107" width="18.140625" style="191" bestFit="1" customWidth="1"/>
    <col min="1108" max="1108" width="11.28515625" style="191" bestFit="1" customWidth="1"/>
    <col min="1109" max="1109" width="18.85546875" style="191" bestFit="1" customWidth="1"/>
    <col min="1110" max="1110" width="15.5703125" style="191" bestFit="1" customWidth="1"/>
    <col min="1111" max="1111" width="20.42578125" style="191" bestFit="1" customWidth="1"/>
    <col min="1112" max="1112" width="11.42578125" style="191" bestFit="1" customWidth="1"/>
    <col min="1113" max="1113" width="19.42578125" style="191" bestFit="1" customWidth="1"/>
    <col min="1114" max="1114" width="16.28515625" style="191" bestFit="1" customWidth="1"/>
    <col min="1115" max="1115" width="11.42578125" style="191" bestFit="1" customWidth="1"/>
    <col min="1116" max="1116" width="7.5703125" style="191" bestFit="1" customWidth="1"/>
    <col min="1117" max="1117" width="18" style="191" bestFit="1" customWidth="1"/>
    <col min="1118" max="1118" width="14.5703125" style="191" bestFit="1" customWidth="1"/>
    <col min="1119" max="1119" width="14.42578125" style="191" bestFit="1" customWidth="1"/>
    <col min="1120" max="1120" width="12.85546875" style="191" bestFit="1" customWidth="1"/>
    <col min="1121" max="1121" width="8.140625" style="191" bestFit="1" customWidth="1"/>
    <col min="1122" max="1122" width="7.7109375" style="191" bestFit="1" customWidth="1"/>
    <col min="1123" max="1123" width="18.85546875" style="191" bestFit="1" customWidth="1"/>
    <col min="1124" max="1124" width="13.7109375" style="191" bestFit="1" customWidth="1"/>
    <col min="1125" max="1125" width="7.5703125" style="191" bestFit="1" customWidth="1"/>
    <col min="1126" max="1126" width="10.85546875" style="191" bestFit="1" customWidth="1"/>
    <col min="1127" max="1127" width="12.85546875" style="191" bestFit="1" customWidth="1"/>
    <col min="1128" max="1132" width="14" style="191" customWidth="1"/>
    <col min="1133" max="1133" width="15.42578125" style="191" bestFit="1" customWidth="1"/>
    <col min="1134" max="1134" width="13.140625" style="191" bestFit="1" customWidth="1"/>
    <col min="1135" max="1135" width="18.140625" style="191" bestFit="1" customWidth="1"/>
    <col min="1136" max="1137" width="15.42578125" style="191" bestFit="1" customWidth="1"/>
    <col min="1138" max="1138" width="9.7109375" style="191" bestFit="1" customWidth="1"/>
    <col min="1139" max="1139" width="15.85546875" style="191" bestFit="1" customWidth="1"/>
    <col min="1140" max="1144" width="14" style="191" customWidth="1"/>
    <col min="1145" max="1145" width="18.42578125" style="191" bestFit="1" customWidth="1"/>
    <col min="1146" max="1146" width="15.140625" style="191" bestFit="1" customWidth="1"/>
    <col min="1147" max="1147" width="15" style="191" bestFit="1" customWidth="1"/>
    <col min="1148" max="1148" width="18.140625" style="191" bestFit="1" customWidth="1"/>
    <col min="1149" max="1149" width="8.7109375" style="191" bestFit="1" customWidth="1"/>
    <col min="1150" max="1150" width="18.42578125" style="191" bestFit="1" customWidth="1"/>
    <col min="1151" max="1151" width="14.85546875" style="191" bestFit="1" customWidth="1"/>
    <col min="1152" max="1152" width="14.140625" style="191" bestFit="1" customWidth="1"/>
    <col min="1153" max="1153" width="13.42578125" style="191" bestFit="1" customWidth="1"/>
    <col min="1154" max="1154" width="8.7109375" style="191" bestFit="1" customWidth="1"/>
    <col min="1155" max="1155" width="15.42578125" style="191" bestFit="1" customWidth="1"/>
    <col min="1156" max="1156" width="12.85546875" style="191" bestFit="1" customWidth="1"/>
    <col min="1157" max="1157" width="15.42578125" style="191" bestFit="1" customWidth="1"/>
    <col min="1158" max="1158" width="19.85546875" style="191" bestFit="1" customWidth="1"/>
    <col min="1159" max="1159" width="10.5703125" style="191" bestFit="1" customWidth="1"/>
    <col min="1160" max="1160" width="19.85546875" style="191" bestFit="1" customWidth="1"/>
    <col min="1161" max="1161" width="15.28515625" style="191" bestFit="1" customWidth="1"/>
    <col min="1162" max="1162" width="15.85546875" style="191" bestFit="1" customWidth="1"/>
    <col min="1163" max="1163" width="17.42578125" style="191" bestFit="1" customWidth="1"/>
    <col min="1164" max="1164" width="14" style="191" bestFit="1" customWidth="1"/>
    <col min="1165" max="1171" width="14" style="191" customWidth="1"/>
    <col min="1172" max="1172" width="17.42578125" style="191" bestFit="1" customWidth="1"/>
    <col min="1173" max="1173" width="14" style="191" customWidth="1"/>
    <col min="1174" max="1174" width="9.5703125" style="191" bestFit="1" customWidth="1"/>
    <col min="1175" max="1175" width="15.5703125" style="191" bestFit="1" customWidth="1"/>
    <col min="1176" max="1176" width="16.5703125" style="191" bestFit="1" customWidth="1"/>
    <col min="1177" max="1177" width="14" style="191" customWidth="1"/>
    <col min="1178" max="1178" width="9.5703125" style="191" bestFit="1" customWidth="1"/>
    <col min="1179" max="1179" width="15.5703125" style="191" bestFit="1" customWidth="1"/>
    <col min="1180" max="1180" width="16.5703125" style="191" bestFit="1" customWidth="1"/>
    <col min="1181" max="1181" width="14.140625" style="191" bestFit="1" customWidth="1"/>
    <col min="1182" max="1186" width="14" style="191" customWidth="1"/>
    <col min="1187" max="1302" width="9.140625" style="191"/>
    <col min="1303" max="1303" width="0.140625" style="191" customWidth="1"/>
    <col min="1304" max="1304" width="17.140625" style="191" customWidth="1"/>
    <col min="1305" max="1305" width="8.5703125" style="191" customWidth="1"/>
    <col min="1306" max="1314" width="0" style="191" hidden="1" customWidth="1"/>
    <col min="1315" max="1315" width="5.140625" style="191" customWidth="1"/>
    <col min="1316" max="1316" width="0" style="191" hidden="1" customWidth="1"/>
    <col min="1317" max="1317" width="4.140625" style="191" customWidth="1"/>
    <col min="1318" max="1318" width="1.7109375" style="191" customWidth="1"/>
    <col min="1319" max="1319" width="5.28515625" style="191" customWidth="1"/>
    <col min="1320" max="1320" width="12.85546875" style="191" bestFit="1" customWidth="1"/>
    <col min="1321" max="1321" width="12.85546875" style="191" customWidth="1"/>
    <col min="1322" max="1325" width="9.140625" style="191"/>
    <col min="1326" max="1326" width="27.85546875" style="191" bestFit="1" customWidth="1"/>
    <col min="1327" max="1328" width="12.7109375" style="191" customWidth="1"/>
    <col min="1329" max="1329" width="9.140625" style="191"/>
    <col min="1330" max="1330" width="17" style="191" bestFit="1" customWidth="1"/>
    <col min="1331" max="1332" width="9.140625" style="191"/>
    <col min="1333" max="1333" width="14" style="191" bestFit="1" customWidth="1"/>
    <col min="1334" max="1334" width="12" style="191" bestFit="1" customWidth="1"/>
    <col min="1335" max="1335" width="12.5703125" style="191" bestFit="1" customWidth="1"/>
    <col min="1336" max="1336" width="14" style="191" bestFit="1" customWidth="1"/>
    <col min="1337" max="1337" width="19" style="191" bestFit="1" customWidth="1"/>
    <col min="1338" max="1338" width="15.7109375" style="191" bestFit="1" customWidth="1"/>
    <col min="1339" max="1339" width="22.28515625" style="191" bestFit="1" customWidth="1"/>
    <col min="1340" max="1340" width="10.5703125" style="191" bestFit="1" customWidth="1"/>
    <col min="1341" max="1341" width="14" style="191" bestFit="1" customWidth="1"/>
    <col min="1342" max="1342" width="14.85546875" style="191" bestFit="1" customWidth="1"/>
    <col min="1343" max="1343" width="11.28515625" style="191" bestFit="1" customWidth="1"/>
    <col min="1344" max="1344" width="14.7109375" style="191" bestFit="1" customWidth="1"/>
    <col min="1345" max="1345" width="11.5703125" style="191" bestFit="1" customWidth="1"/>
    <col min="1346" max="1346" width="18" style="191" bestFit="1" customWidth="1"/>
    <col min="1347" max="1347" width="7.42578125" style="191" bestFit="1" customWidth="1"/>
    <col min="1348" max="1348" width="14" style="191" bestFit="1" customWidth="1"/>
    <col min="1349" max="1353" width="14" style="191" customWidth="1"/>
    <col min="1354" max="1354" width="13.7109375" style="191" bestFit="1" customWidth="1"/>
    <col min="1355" max="1355" width="12.140625" style="191" bestFit="1" customWidth="1"/>
    <col min="1356" max="1356" width="10.5703125" style="191" bestFit="1" customWidth="1"/>
    <col min="1357" max="1358" width="18" style="191" bestFit="1" customWidth="1"/>
    <col min="1359" max="1359" width="8.7109375" style="191" bestFit="1" customWidth="1"/>
    <col min="1360" max="1360" width="14.5703125" style="191" bestFit="1" customWidth="1"/>
    <col min="1361" max="1361" width="15.140625" style="191" bestFit="1" customWidth="1"/>
    <col min="1362" max="1362" width="14.42578125" style="191" bestFit="1" customWidth="1"/>
    <col min="1363" max="1363" width="18.140625" style="191" bestFit="1" customWidth="1"/>
    <col min="1364" max="1364" width="11.28515625" style="191" bestFit="1" customWidth="1"/>
    <col min="1365" max="1365" width="18.85546875" style="191" bestFit="1" customWidth="1"/>
    <col min="1366" max="1366" width="15.5703125" style="191" bestFit="1" customWidth="1"/>
    <col min="1367" max="1367" width="20.42578125" style="191" bestFit="1" customWidth="1"/>
    <col min="1368" max="1368" width="11.42578125" style="191" bestFit="1" customWidth="1"/>
    <col min="1369" max="1369" width="19.42578125" style="191" bestFit="1" customWidth="1"/>
    <col min="1370" max="1370" width="16.28515625" style="191" bestFit="1" customWidth="1"/>
    <col min="1371" max="1371" width="11.42578125" style="191" bestFit="1" customWidth="1"/>
    <col min="1372" max="1372" width="7.5703125" style="191" bestFit="1" customWidth="1"/>
    <col min="1373" max="1373" width="18" style="191" bestFit="1" customWidth="1"/>
    <col min="1374" max="1374" width="14.5703125" style="191" bestFit="1" customWidth="1"/>
    <col min="1375" max="1375" width="14.42578125" style="191" bestFit="1" customWidth="1"/>
    <col min="1376" max="1376" width="12.85546875" style="191" bestFit="1" customWidth="1"/>
    <col min="1377" max="1377" width="8.140625" style="191" bestFit="1" customWidth="1"/>
    <col min="1378" max="1378" width="7.7109375" style="191" bestFit="1" customWidth="1"/>
    <col min="1379" max="1379" width="18.85546875" style="191" bestFit="1" customWidth="1"/>
    <col min="1380" max="1380" width="13.7109375" style="191" bestFit="1" customWidth="1"/>
    <col min="1381" max="1381" width="7.5703125" style="191" bestFit="1" customWidth="1"/>
    <col min="1382" max="1382" width="10.85546875" style="191" bestFit="1" customWidth="1"/>
    <col min="1383" max="1383" width="12.85546875" style="191" bestFit="1" customWidth="1"/>
    <col min="1384" max="1388" width="14" style="191" customWidth="1"/>
    <col min="1389" max="1389" width="15.42578125" style="191" bestFit="1" customWidth="1"/>
    <col min="1390" max="1390" width="13.140625" style="191" bestFit="1" customWidth="1"/>
    <col min="1391" max="1391" width="18.140625" style="191" bestFit="1" customWidth="1"/>
    <col min="1392" max="1393" width="15.42578125" style="191" bestFit="1" customWidth="1"/>
    <col min="1394" max="1394" width="9.7109375" style="191" bestFit="1" customWidth="1"/>
    <col min="1395" max="1395" width="15.85546875" style="191" bestFit="1" customWidth="1"/>
    <col min="1396" max="1400" width="14" style="191" customWidth="1"/>
    <col min="1401" max="1401" width="18.42578125" style="191" bestFit="1" customWidth="1"/>
    <col min="1402" max="1402" width="15.140625" style="191" bestFit="1" customWidth="1"/>
    <col min="1403" max="1403" width="15" style="191" bestFit="1" customWidth="1"/>
    <col min="1404" max="1404" width="18.140625" style="191" bestFit="1" customWidth="1"/>
    <col min="1405" max="1405" width="8.7109375" style="191" bestFit="1" customWidth="1"/>
    <col min="1406" max="1406" width="18.42578125" style="191" bestFit="1" customWidth="1"/>
    <col min="1407" max="1407" width="14.85546875" style="191" bestFit="1" customWidth="1"/>
    <col min="1408" max="1408" width="14.140625" style="191" bestFit="1" customWidth="1"/>
    <col min="1409" max="1409" width="13.42578125" style="191" bestFit="1" customWidth="1"/>
    <col min="1410" max="1410" width="8.7109375" style="191" bestFit="1" customWidth="1"/>
    <col min="1411" max="1411" width="15.42578125" style="191" bestFit="1" customWidth="1"/>
    <col min="1412" max="1412" width="12.85546875" style="191" bestFit="1" customWidth="1"/>
    <col min="1413" max="1413" width="15.42578125" style="191" bestFit="1" customWidth="1"/>
    <col min="1414" max="1414" width="19.85546875" style="191" bestFit="1" customWidth="1"/>
    <col min="1415" max="1415" width="10.5703125" style="191" bestFit="1" customWidth="1"/>
    <col min="1416" max="1416" width="19.85546875" style="191" bestFit="1" customWidth="1"/>
    <col min="1417" max="1417" width="15.28515625" style="191" bestFit="1" customWidth="1"/>
    <col min="1418" max="1418" width="15.85546875" style="191" bestFit="1" customWidth="1"/>
    <col min="1419" max="1419" width="17.42578125" style="191" bestFit="1" customWidth="1"/>
    <col min="1420" max="1420" width="14" style="191" bestFit="1" customWidth="1"/>
    <col min="1421" max="1427" width="14" style="191" customWidth="1"/>
    <col min="1428" max="1428" width="17.42578125" style="191" bestFit="1" customWidth="1"/>
    <col min="1429" max="1429" width="14" style="191" customWidth="1"/>
    <col min="1430" max="1430" width="9.5703125" style="191" bestFit="1" customWidth="1"/>
    <col min="1431" max="1431" width="15.5703125" style="191" bestFit="1" customWidth="1"/>
    <col min="1432" max="1432" width="16.5703125" style="191" bestFit="1" customWidth="1"/>
    <col min="1433" max="1433" width="14" style="191" customWidth="1"/>
    <col min="1434" max="1434" width="9.5703125" style="191" bestFit="1" customWidth="1"/>
    <col min="1435" max="1435" width="15.5703125" style="191" bestFit="1" customWidth="1"/>
    <col min="1436" max="1436" width="16.5703125" style="191" bestFit="1" customWidth="1"/>
    <col min="1437" max="1437" width="14.140625" style="191" bestFit="1" customWidth="1"/>
    <col min="1438" max="1442" width="14" style="191" customWidth="1"/>
    <col min="1443" max="1558" width="9.140625" style="191"/>
    <col min="1559" max="1559" width="0.140625" style="191" customWidth="1"/>
    <col min="1560" max="1560" width="17.140625" style="191" customWidth="1"/>
    <col min="1561" max="1561" width="8.5703125" style="191" customWidth="1"/>
    <col min="1562" max="1570" width="0" style="191" hidden="1" customWidth="1"/>
    <col min="1571" max="1571" width="5.140625" style="191" customWidth="1"/>
    <col min="1572" max="1572" width="0" style="191" hidden="1" customWidth="1"/>
    <col min="1573" max="1573" width="4.140625" style="191" customWidth="1"/>
    <col min="1574" max="1574" width="1.7109375" style="191" customWidth="1"/>
    <col min="1575" max="1575" width="5.28515625" style="191" customWidth="1"/>
    <col min="1576" max="1576" width="12.85546875" style="191" bestFit="1" customWidth="1"/>
    <col min="1577" max="1577" width="12.85546875" style="191" customWidth="1"/>
    <col min="1578" max="1581" width="9.140625" style="191"/>
    <col min="1582" max="1582" width="27.85546875" style="191" bestFit="1" customWidth="1"/>
    <col min="1583" max="1584" width="12.7109375" style="191" customWidth="1"/>
    <col min="1585" max="1585" width="9.140625" style="191"/>
    <col min="1586" max="1586" width="17" style="191" bestFit="1" customWidth="1"/>
    <col min="1587" max="1588" width="9.140625" style="191"/>
    <col min="1589" max="1589" width="14" style="191" bestFit="1" customWidth="1"/>
    <col min="1590" max="1590" width="12" style="191" bestFit="1" customWidth="1"/>
    <col min="1591" max="1591" width="12.5703125" style="191" bestFit="1" customWidth="1"/>
    <col min="1592" max="1592" width="14" style="191" bestFit="1" customWidth="1"/>
    <col min="1593" max="1593" width="19" style="191" bestFit="1" customWidth="1"/>
    <col min="1594" max="1594" width="15.7109375" style="191" bestFit="1" customWidth="1"/>
    <col min="1595" max="1595" width="22.28515625" style="191" bestFit="1" customWidth="1"/>
    <col min="1596" max="1596" width="10.5703125" style="191" bestFit="1" customWidth="1"/>
    <col min="1597" max="1597" width="14" style="191" bestFit="1" customWidth="1"/>
    <col min="1598" max="1598" width="14.85546875" style="191" bestFit="1" customWidth="1"/>
    <col min="1599" max="1599" width="11.28515625" style="191" bestFit="1" customWidth="1"/>
    <col min="1600" max="1600" width="14.7109375" style="191" bestFit="1" customWidth="1"/>
    <col min="1601" max="1601" width="11.5703125" style="191" bestFit="1" customWidth="1"/>
    <col min="1602" max="1602" width="18" style="191" bestFit="1" customWidth="1"/>
    <col min="1603" max="1603" width="7.42578125" style="191" bestFit="1" customWidth="1"/>
    <col min="1604" max="1604" width="14" style="191" bestFit="1" customWidth="1"/>
    <col min="1605" max="1609" width="14" style="191" customWidth="1"/>
    <col min="1610" max="1610" width="13.7109375" style="191" bestFit="1" customWidth="1"/>
    <col min="1611" max="1611" width="12.140625" style="191" bestFit="1" customWidth="1"/>
    <col min="1612" max="1612" width="10.5703125" style="191" bestFit="1" customWidth="1"/>
    <col min="1613" max="1614" width="18" style="191" bestFit="1" customWidth="1"/>
    <col min="1615" max="1615" width="8.7109375" style="191" bestFit="1" customWidth="1"/>
    <col min="1616" max="1616" width="14.5703125" style="191" bestFit="1" customWidth="1"/>
    <col min="1617" max="1617" width="15.140625" style="191" bestFit="1" customWidth="1"/>
    <col min="1618" max="1618" width="14.42578125" style="191" bestFit="1" customWidth="1"/>
    <col min="1619" max="1619" width="18.140625" style="191" bestFit="1" customWidth="1"/>
    <col min="1620" max="1620" width="11.28515625" style="191" bestFit="1" customWidth="1"/>
    <col min="1621" max="1621" width="18.85546875" style="191" bestFit="1" customWidth="1"/>
    <col min="1622" max="1622" width="15.5703125" style="191" bestFit="1" customWidth="1"/>
    <col min="1623" max="1623" width="20.42578125" style="191" bestFit="1" customWidth="1"/>
    <col min="1624" max="1624" width="11.42578125" style="191" bestFit="1" customWidth="1"/>
    <col min="1625" max="1625" width="19.42578125" style="191" bestFit="1" customWidth="1"/>
    <col min="1626" max="1626" width="16.28515625" style="191" bestFit="1" customWidth="1"/>
    <col min="1627" max="1627" width="11.42578125" style="191" bestFit="1" customWidth="1"/>
    <col min="1628" max="1628" width="7.5703125" style="191" bestFit="1" customWidth="1"/>
    <col min="1629" max="1629" width="18" style="191" bestFit="1" customWidth="1"/>
    <col min="1630" max="1630" width="14.5703125" style="191" bestFit="1" customWidth="1"/>
    <col min="1631" max="1631" width="14.42578125" style="191" bestFit="1" customWidth="1"/>
    <col min="1632" max="1632" width="12.85546875" style="191" bestFit="1" customWidth="1"/>
    <col min="1633" max="1633" width="8.140625" style="191" bestFit="1" customWidth="1"/>
    <col min="1634" max="1634" width="7.7109375" style="191" bestFit="1" customWidth="1"/>
    <col min="1635" max="1635" width="18.85546875" style="191" bestFit="1" customWidth="1"/>
    <col min="1636" max="1636" width="13.7109375" style="191" bestFit="1" customWidth="1"/>
    <col min="1637" max="1637" width="7.5703125" style="191" bestFit="1" customWidth="1"/>
    <col min="1638" max="1638" width="10.85546875" style="191" bestFit="1" customWidth="1"/>
    <col min="1639" max="1639" width="12.85546875" style="191" bestFit="1" customWidth="1"/>
    <col min="1640" max="1644" width="14" style="191" customWidth="1"/>
    <col min="1645" max="1645" width="15.42578125" style="191" bestFit="1" customWidth="1"/>
    <col min="1646" max="1646" width="13.140625" style="191" bestFit="1" customWidth="1"/>
    <col min="1647" max="1647" width="18.140625" style="191" bestFit="1" customWidth="1"/>
    <col min="1648" max="1649" width="15.42578125" style="191" bestFit="1" customWidth="1"/>
    <col min="1650" max="1650" width="9.7109375" style="191" bestFit="1" customWidth="1"/>
    <col min="1651" max="1651" width="15.85546875" style="191" bestFit="1" customWidth="1"/>
    <col min="1652" max="1656" width="14" style="191" customWidth="1"/>
    <col min="1657" max="1657" width="18.42578125" style="191" bestFit="1" customWidth="1"/>
    <col min="1658" max="1658" width="15.140625" style="191" bestFit="1" customWidth="1"/>
    <col min="1659" max="1659" width="15" style="191" bestFit="1" customWidth="1"/>
    <col min="1660" max="1660" width="18.140625" style="191" bestFit="1" customWidth="1"/>
    <col min="1661" max="1661" width="8.7109375" style="191" bestFit="1" customWidth="1"/>
    <col min="1662" max="1662" width="18.42578125" style="191" bestFit="1" customWidth="1"/>
    <col min="1663" max="1663" width="14.85546875" style="191" bestFit="1" customWidth="1"/>
    <col min="1664" max="1664" width="14.140625" style="191" bestFit="1" customWidth="1"/>
    <col min="1665" max="1665" width="13.42578125" style="191" bestFit="1" customWidth="1"/>
    <col min="1666" max="1666" width="8.7109375" style="191" bestFit="1" customWidth="1"/>
    <col min="1667" max="1667" width="15.42578125" style="191" bestFit="1" customWidth="1"/>
    <col min="1668" max="1668" width="12.85546875" style="191" bestFit="1" customWidth="1"/>
    <col min="1669" max="1669" width="15.42578125" style="191" bestFit="1" customWidth="1"/>
    <col min="1670" max="1670" width="19.85546875" style="191" bestFit="1" customWidth="1"/>
    <col min="1671" max="1671" width="10.5703125" style="191" bestFit="1" customWidth="1"/>
    <col min="1672" max="1672" width="19.85546875" style="191" bestFit="1" customWidth="1"/>
    <col min="1673" max="1673" width="15.28515625" style="191" bestFit="1" customWidth="1"/>
    <col min="1674" max="1674" width="15.85546875" style="191" bestFit="1" customWidth="1"/>
    <col min="1675" max="1675" width="17.42578125" style="191" bestFit="1" customWidth="1"/>
    <col min="1676" max="1676" width="14" style="191" bestFit="1" customWidth="1"/>
    <col min="1677" max="1683" width="14" style="191" customWidth="1"/>
    <col min="1684" max="1684" width="17.42578125" style="191" bestFit="1" customWidth="1"/>
    <col min="1685" max="1685" width="14" style="191" customWidth="1"/>
    <col min="1686" max="1686" width="9.5703125" style="191" bestFit="1" customWidth="1"/>
    <col min="1687" max="1687" width="15.5703125" style="191" bestFit="1" customWidth="1"/>
    <col min="1688" max="1688" width="16.5703125" style="191" bestFit="1" customWidth="1"/>
    <col min="1689" max="1689" width="14" style="191" customWidth="1"/>
    <col min="1690" max="1690" width="9.5703125" style="191" bestFit="1" customWidth="1"/>
    <col min="1691" max="1691" width="15.5703125" style="191" bestFit="1" customWidth="1"/>
    <col min="1692" max="1692" width="16.5703125" style="191" bestFit="1" customWidth="1"/>
    <col min="1693" max="1693" width="14.140625" style="191" bestFit="1" customWidth="1"/>
    <col min="1694" max="1698" width="14" style="191" customWidth="1"/>
    <col min="1699" max="1814" width="9.140625" style="191"/>
    <col min="1815" max="1815" width="0.140625" style="191" customWidth="1"/>
    <col min="1816" max="1816" width="17.140625" style="191" customWidth="1"/>
    <col min="1817" max="1817" width="8.5703125" style="191" customWidth="1"/>
    <col min="1818" max="1826" width="0" style="191" hidden="1" customWidth="1"/>
    <col min="1827" max="1827" width="5.140625" style="191" customWidth="1"/>
    <col min="1828" max="1828" width="0" style="191" hidden="1" customWidth="1"/>
    <col min="1829" max="1829" width="4.140625" style="191" customWidth="1"/>
    <col min="1830" max="1830" width="1.7109375" style="191" customWidth="1"/>
    <col min="1831" max="1831" width="5.28515625" style="191" customWidth="1"/>
    <col min="1832" max="1832" width="12.85546875" style="191" bestFit="1" customWidth="1"/>
    <col min="1833" max="1833" width="12.85546875" style="191" customWidth="1"/>
    <col min="1834" max="1837" width="9.140625" style="191"/>
    <col min="1838" max="1838" width="27.85546875" style="191" bestFit="1" customWidth="1"/>
    <col min="1839" max="1840" width="12.7109375" style="191" customWidth="1"/>
    <col min="1841" max="1841" width="9.140625" style="191"/>
    <col min="1842" max="1842" width="17" style="191" bestFit="1" customWidth="1"/>
    <col min="1843" max="1844" width="9.140625" style="191"/>
    <col min="1845" max="1845" width="14" style="191" bestFit="1" customWidth="1"/>
    <col min="1846" max="1846" width="12" style="191" bestFit="1" customWidth="1"/>
    <col min="1847" max="1847" width="12.5703125" style="191" bestFit="1" customWidth="1"/>
    <col min="1848" max="1848" width="14" style="191" bestFit="1" customWidth="1"/>
    <col min="1849" max="1849" width="19" style="191" bestFit="1" customWidth="1"/>
    <col min="1850" max="1850" width="15.7109375" style="191" bestFit="1" customWidth="1"/>
    <col min="1851" max="1851" width="22.28515625" style="191" bestFit="1" customWidth="1"/>
    <col min="1852" max="1852" width="10.5703125" style="191" bestFit="1" customWidth="1"/>
    <col min="1853" max="1853" width="14" style="191" bestFit="1" customWidth="1"/>
    <col min="1854" max="1854" width="14.85546875" style="191" bestFit="1" customWidth="1"/>
    <col min="1855" max="1855" width="11.28515625" style="191" bestFit="1" customWidth="1"/>
    <col min="1856" max="1856" width="14.7109375" style="191" bestFit="1" customWidth="1"/>
    <col min="1857" max="1857" width="11.5703125" style="191" bestFit="1" customWidth="1"/>
    <col min="1858" max="1858" width="18" style="191" bestFit="1" customWidth="1"/>
    <col min="1859" max="1859" width="7.42578125" style="191" bestFit="1" customWidth="1"/>
    <col min="1860" max="1860" width="14" style="191" bestFit="1" customWidth="1"/>
    <col min="1861" max="1865" width="14" style="191" customWidth="1"/>
    <col min="1866" max="1866" width="13.7109375" style="191" bestFit="1" customWidth="1"/>
    <col min="1867" max="1867" width="12.140625" style="191" bestFit="1" customWidth="1"/>
    <col min="1868" max="1868" width="10.5703125" style="191" bestFit="1" customWidth="1"/>
    <col min="1869" max="1870" width="18" style="191" bestFit="1" customWidth="1"/>
    <col min="1871" max="1871" width="8.7109375" style="191" bestFit="1" customWidth="1"/>
    <col min="1872" max="1872" width="14.5703125" style="191" bestFit="1" customWidth="1"/>
    <col min="1873" max="1873" width="15.140625" style="191" bestFit="1" customWidth="1"/>
    <col min="1874" max="1874" width="14.42578125" style="191" bestFit="1" customWidth="1"/>
    <col min="1875" max="1875" width="18.140625" style="191" bestFit="1" customWidth="1"/>
    <col min="1876" max="1876" width="11.28515625" style="191" bestFit="1" customWidth="1"/>
    <col min="1877" max="1877" width="18.85546875" style="191" bestFit="1" customWidth="1"/>
    <col min="1878" max="1878" width="15.5703125" style="191" bestFit="1" customWidth="1"/>
    <col min="1879" max="1879" width="20.42578125" style="191" bestFit="1" customWidth="1"/>
    <col min="1880" max="1880" width="11.42578125" style="191" bestFit="1" customWidth="1"/>
    <col min="1881" max="1881" width="19.42578125" style="191" bestFit="1" customWidth="1"/>
    <col min="1882" max="1882" width="16.28515625" style="191" bestFit="1" customWidth="1"/>
    <col min="1883" max="1883" width="11.42578125" style="191" bestFit="1" customWidth="1"/>
    <col min="1884" max="1884" width="7.5703125" style="191" bestFit="1" customWidth="1"/>
    <col min="1885" max="1885" width="18" style="191" bestFit="1" customWidth="1"/>
    <col min="1886" max="1886" width="14.5703125" style="191" bestFit="1" customWidth="1"/>
    <col min="1887" max="1887" width="14.42578125" style="191" bestFit="1" customWidth="1"/>
    <col min="1888" max="1888" width="12.85546875" style="191" bestFit="1" customWidth="1"/>
    <col min="1889" max="1889" width="8.140625" style="191" bestFit="1" customWidth="1"/>
    <col min="1890" max="1890" width="7.7109375" style="191" bestFit="1" customWidth="1"/>
    <col min="1891" max="1891" width="18.85546875" style="191" bestFit="1" customWidth="1"/>
    <col min="1892" max="1892" width="13.7109375" style="191" bestFit="1" customWidth="1"/>
    <col min="1893" max="1893" width="7.5703125" style="191" bestFit="1" customWidth="1"/>
    <col min="1894" max="1894" width="10.85546875" style="191" bestFit="1" customWidth="1"/>
    <col min="1895" max="1895" width="12.85546875" style="191" bestFit="1" customWidth="1"/>
    <col min="1896" max="1900" width="14" style="191" customWidth="1"/>
    <col min="1901" max="1901" width="15.42578125" style="191" bestFit="1" customWidth="1"/>
    <col min="1902" max="1902" width="13.140625" style="191" bestFit="1" customWidth="1"/>
    <col min="1903" max="1903" width="18.140625" style="191" bestFit="1" customWidth="1"/>
    <col min="1904" max="1905" width="15.42578125" style="191" bestFit="1" customWidth="1"/>
    <col min="1906" max="1906" width="9.7109375" style="191" bestFit="1" customWidth="1"/>
    <col min="1907" max="1907" width="15.85546875" style="191" bestFit="1" customWidth="1"/>
    <col min="1908" max="1912" width="14" style="191" customWidth="1"/>
    <col min="1913" max="1913" width="18.42578125" style="191" bestFit="1" customWidth="1"/>
    <col min="1914" max="1914" width="15.140625" style="191" bestFit="1" customWidth="1"/>
    <col min="1915" max="1915" width="15" style="191" bestFit="1" customWidth="1"/>
    <col min="1916" max="1916" width="18.140625" style="191" bestFit="1" customWidth="1"/>
    <col min="1917" max="1917" width="8.7109375" style="191" bestFit="1" customWidth="1"/>
    <col min="1918" max="1918" width="18.42578125" style="191" bestFit="1" customWidth="1"/>
    <col min="1919" max="1919" width="14.85546875" style="191" bestFit="1" customWidth="1"/>
    <col min="1920" max="1920" width="14.140625" style="191" bestFit="1" customWidth="1"/>
    <col min="1921" max="1921" width="13.42578125" style="191" bestFit="1" customWidth="1"/>
    <col min="1922" max="1922" width="8.7109375" style="191" bestFit="1" customWidth="1"/>
    <col min="1923" max="1923" width="15.42578125" style="191" bestFit="1" customWidth="1"/>
    <col min="1924" max="1924" width="12.85546875" style="191" bestFit="1" customWidth="1"/>
    <col min="1925" max="1925" width="15.42578125" style="191" bestFit="1" customWidth="1"/>
    <col min="1926" max="1926" width="19.85546875" style="191" bestFit="1" customWidth="1"/>
    <col min="1927" max="1927" width="10.5703125" style="191" bestFit="1" customWidth="1"/>
    <col min="1928" max="1928" width="19.85546875" style="191" bestFit="1" customWidth="1"/>
    <col min="1929" max="1929" width="15.28515625" style="191" bestFit="1" customWidth="1"/>
    <col min="1930" max="1930" width="15.85546875" style="191" bestFit="1" customWidth="1"/>
    <col min="1931" max="1931" width="17.42578125" style="191" bestFit="1" customWidth="1"/>
    <col min="1932" max="1932" width="14" style="191" bestFit="1" customWidth="1"/>
    <col min="1933" max="1939" width="14" style="191" customWidth="1"/>
    <col min="1940" max="1940" width="17.42578125" style="191" bestFit="1" customWidth="1"/>
    <col min="1941" max="1941" width="14" style="191" customWidth="1"/>
    <col min="1942" max="1942" width="9.5703125" style="191" bestFit="1" customWidth="1"/>
    <col min="1943" max="1943" width="15.5703125" style="191" bestFit="1" customWidth="1"/>
    <col min="1944" max="1944" width="16.5703125" style="191" bestFit="1" customWidth="1"/>
    <col min="1945" max="1945" width="14" style="191" customWidth="1"/>
    <col min="1946" max="1946" width="9.5703125" style="191" bestFit="1" customWidth="1"/>
    <col min="1947" max="1947" width="15.5703125" style="191" bestFit="1" customWidth="1"/>
    <col min="1948" max="1948" width="16.5703125" style="191" bestFit="1" customWidth="1"/>
    <col min="1949" max="1949" width="14.140625" style="191" bestFit="1" customWidth="1"/>
    <col min="1950" max="1954" width="14" style="191" customWidth="1"/>
    <col min="1955" max="2070" width="9.140625" style="191"/>
    <col min="2071" max="2071" width="0.140625" style="191" customWidth="1"/>
    <col min="2072" max="2072" width="17.140625" style="191" customWidth="1"/>
    <col min="2073" max="2073" width="8.5703125" style="191" customWidth="1"/>
    <col min="2074" max="2082" width="0" style="191" hidden="1" customWidth="1"/>
    <col min="2083" max="2083" width="5.140625" style="191" customWidth="1"/>
    <col min="2084" max="2084" width="0" style="191" hidden="1" customWidth="1"/>
    <col min="2085" max="2085" width="4.140625" style="191" customWidth="1"/>
    <col min="2086" max="2086" width="1.7109375" style="191" customWidth="1"/>
    <col min="2087" max="2087" width="5.28515625" style="191" customWidth="1"/>
    <col min="2088" max="2088" width="12.85546875" style="191" bestFit="1" customWidth="1"/>
    <col min="2089" max="2089" width="12.85546875" style="191" customWidth="1"/>
    <col min="2090" max="2093" width="9.140625" style="191"/>
    <col min="2094" max="2094" width="27.85546875" style="191" bestFit="1" customWidth="1"/>
    <col min="2095" max="2096" width="12.7109375" style="191" customWidth="1"/>
    <col min="2097" max="2097" width="9.140625" style="191"/>
    <col min="2098" max="2098" width="17" style="191" bestFit="1" customWidth="1"/>
    <col min="2099" max="2100" width="9.140625" style="191"/>
    <col min="2101" max="2101" width="14" style="191" bestFit="1" customWidth="1"/>
    <col min="2102" max="2102" width="12" style="191" bestFit="1" customWidth="1"/>
    <col min="2103" max="2103" width="12.5703125" style="191" bestFit="1" customWidth="1"/>
    <col min="2104" max="2104" width="14" style="191" bestFit="1" customWidth="1"/>
    <col min="2105" max="2105" width="19" style="191" bestFit="1" customWidth="1"/>
    <col min="2106" max="2106" width="15.7109375" style="191" bestFit="1" customWidth="1"/>
    <col min="2107" max="2107" width="22.28515625" style="191" bestFit="1" customWidth="1"/>
    <col min="2108" max="2108" width="10.5703125" style="191" bestFit="1" customWidth="1"/>
    <col min="2109" max="2109" width="14" style="191" bestFit="1" customWidth="1"/>
    <col min="2110" max="2110" width="14.85546875" style="191" bestFit="1" customWidth="1"/>
    <col min="2111" max="2111" width="11.28515625" style="191" bestFit="1" customWidth="1"/>
    <col min="2112" max="2112" width="14.7109375" style="191" bestFit="1" customWidth="1"/>
    <col min="2113" max="2113" width="11.5703125" style="191" bestFit="1" customWidth="1"/>
    <col min="2114" max="2114" width="18" style="191" bestFit="1" customWidth="1"/>
    <col min="2115" max="2115" width="7.42578125" style="191" bestFit="1" customWidth="1"/>
    <col min="2116" max="2116" width="14" style="191" bestFit="1" customWidth="1"/>
    <col min="2117" max="2121" width="14" style="191" customWidth="1"/>
    <col min="2122" max="2122" width="13.7109375" style="191" bestFit="1" customWidth="1"/>
    <col min="2123" max="2123" width="12.140625" style="191" bestFit="1" customWidth="1"/>
    <col min="2124" max="2124" width="10.5703125" style="191" bestFit="1" customWidth="1"/>
    <col min="2125" max="2126" width="18" style="191" bestFit="1" customWidth="1"/>
    <col min="2127" max="2127" width="8.7109375" style="191" bestFit="1" customWidth="1"/>
    <col min="2128" max="2128" width="14.5703125" style="191" bestFit="1" customWidth="1"/>
    <col min="2129" max="2129" width="15.140625" style="191" bestFit="1" customWidth="1"/>
    <col min="2130" max="2130" width="14.42578125" style="191" bestFit="1" customWidth="1"/>
    <col min="2131" max="2131" width="18.140625" style="191" bestFit="1" customWidth="1"/>
    <col min="2132" max="2132" width="11.28515625" style="191" bestFit="1" customWidth="1"/>
    <col min="2133" max="2133" width="18.85546875" style="191" bestFit="1" customWidth="1"/>
    <col min="2134" max="2134" width="15.5703125" style="191" bestFit="1" customWidth="1"/>
    <col min="2135" max="2135" width="20.42578125" style="191" bestFit="1" customWidth="1"/>
    <col min="2136" max="2136" width="11.42578125" style="191" bestFit="1" customWidth="1"/>
    <col min="2137" max="2137" width="19.42578125" style="191" bestFit="1" customWidth="1"/>
    <col min="2138" max="2138" width="16.28515625" style="191" bestFit="1" customWidth="1"/>
    <col min="2139" max="2139" width="11.42578125" style="191" bestFit="1" customWidth="1"/>
    <col min="2140" max="2140" width="7.5703125" style="191" bestFit="1" customWidth="1"/>
    <col min="2141" max="2141" width="18" style="191" bestFit="1" customWidth="1"/>
    <col min="2142" max="2142" width="14.5703125" style="191" bestFit="1" customWidth="1"/>
    <col min="2143" max="2143" width="14.42578125" style="191" bestFit="1" customWidth="1"/>
    <col min="2144" max="2144" width="12.85546875" style="191" bestFit="1" customWidth="1"/>
    <col min="2145" max="2145" width="8.140625" style="191" bestFit="1" customWidth="1"/>
    <col min="2146" max="2146" width="7.7109375" style="191" bestFit="1" customWidth="1"/>
    <col min="2147" max="2147" width="18.85546875" style="191" bestFit="1" customWidth="1"/>
    <col min="2148" max="2148" width="13.7109375" style="191" bestFit="1" customWidth="1"/>
    <col min="2149" max="2149" width="7.5703125" style="191" bestFit="1" customWidth="1"/>
    <col min="2150" max="2150" width="10.85546875" style="191" bestFit="1" customWidth="1"/>
    <col min="2151" max="2151" width="12.85546875" style="191" bestFit="1" customWidth="1"/>
    <col min="2152" max="2156" width="14" style="191" customWidth="1"/>
    <col min="2157" max="2157" width="15.42578125" style="191" bestFit="1" customWidth="1"/>
    <col min="2158" max="2158" width="13.140625" style="191" bestFit="1" customWidth="1"/>
    <col min="2159" max="2159" width="18.140625" style="191" bestFit="1" customWidth="1"/>
    <col min="2160" max="2161" width="15.42578125" style="191" bestFit="1" customWidth="1"/>
    <col min="2162" max="2162" width="9.7109375" style="191" bestFit="1" customWidth="1"/>
    <col min="2163" max="2163" width="15.85546875" style="191" bestFit="1" customWidth="1"/>
    <col min="2164" max="2168" width="14" style="191" customWidth="1"/>
    <col min="2169" max="2169" width="18.42578125" style="191" bestFit="1" customWidth="1"/>
    <col min="2170" max="2170" width="15.140625" style="191" bestFit="1" customWidth="1"/>
    <col min="2171" max="2171" width="15" style="191" bestFit="1" customWidth="1"/>
    <col min="2172" max="2172" width="18.140625" style="191" bestFit="1" customWidth="1"/>
    <col min="2173" max="2173" width="8.7109375" style="191" bestFit="1" customWidth="1"/>
    <col min="2174" max="2174" width="18.42578125" style="191" bestFit="1" customWidth="1"/>
    <col min="2175" max="2175" width="14.85546875" style="191" bestFit="1" customWidth="1"/>
    <col min="2176" max="2176" width="14.140625" style="191" bestFit="1" customWidth="1"/>
    <col min="2177" max="2177" width="13.42578125" style="191" bestFit="1" customWidth="1"/>
    <col min="2178" max="2178" width="8.7109375" style="191" bestFit="1" customWidth="1"/>
    <col min="2179" max="2179" width="15.42578125" style="191" bestFit="1" customWidth="1"/>
    <col min="2180" max="2180" width="12.85546875" style="191" bestFit="1" customWidth="1"/>
    <col min="2181" max="2181" width="15.42578125" style="191" bestFit="1" customWidth="1"/>
    <col min="2182" max="2182" width="19.85546875" style="191" bestFit="1" customWidth="1"/>
    <col min="2183" max="2183" width="10.5703125" style="191" bestFit="1" customWidth="1"/>
    <col min="2184" max="2184" width="19.85546875" style="191" bestFit="1" customWidth="1"/>
    <col min="2185" max="2185" width="15.28515625" style="191" bestFit="1" customWidth="1"/>
    <col min="2186" max="2186" width="15.85546875" style="191" bestFit="1" customWidth="1"/>
    <col min="2187" max="2187" width="17.42578125" style="191" bestFit="1" customWidth="1"/>
    <col min="2188" max="2188" width="14" style="191" bestFit="1" customWidth="1"/>
    <col min="2189" max="2195" width="14" style="191" customWidth="1"/>
    <col min="2196" max="2196" width="17.42578125" style="191" bestFit="1" customWidth="1"/>
    <col min="2197" max="2197" width="14" style="191" customWidth="1"/>
    <col min="2198" max="2198" width="9.5703125" style="191" bestFit="1" customWidth="1"/>
    <col min="2199" max="2199" width="15.5703125" style="191" bestFit="1" customWidth="1"/>
    <col min="2200" max="2200" width="16.5703125" style="191" bestFit="1" customWidth="1"/>
    <col min="2201" max="2201" width="14" style="191" customWidth="1"/>
    <col min="2202" max="2202" width="9.5703125" style="191" bestFit="1" customWidth="1"/>
    <col min="2203" max="2203" width="15.5703125" style="191" bestFit="1" customWidth="1"/>
    <col min="2204" max="2204" width="16.5703125" style="191" bestFit="1" customWidth="1"/>
    <col min="2205" max="2205" width="14.140625" style="191" bestFit="1" customWidth="1"/>
    <col min="2206" max="2210" width="14" style="191" customWidth="1"/>
    <col min="2211" max="2326" width="9.140625" style="191"/>
    <col min="2327" max="2327" width="0.140625" style="191" customWidth="1"/>
    <col min="2328" max="2328" width="17.140625" style="191" customWidth="1"/>
    <col min="2329" max="2329" width="8.5703125" style="191" customWidth="1"/>
    <col min="2330" max="2338" width="0" style="191" hidden="1" customWidth="1"/>
    <col min="2339" max="2339" width="5.140625" style="191" customWidth="1"/>
    <col min="2340" max="2340" width="0" style="191" hidden="1" customWidth="1"/>
    <col min="2341" max="2341" width="4.140625" style="191" customWidth="1"/>
    <col min="2342" max="2342" width="1.7109375" style="191" customWidth="1"/>
    <col min="2343" max="2343" width="5.28515625" style="191" customWidth="1"/>
    <col min="2344" max="2344" width="12.85546875" style="191" bestFit="1" customWidth="1"/>
    <col min="2345" max="2345" width="12.85546875" style="191" customWidth="1"/>
    <col min="2346" max="2349" width="9.140625" style="191"/>
    <col min="2350" max="2350" width="27.85546875" style="191" bestFit="1" customWidth="1"/>
    <col min="2351" max="2352" width="12.7109375" style="191" customWidth="1"/>
    <col min="2353" max="2353" width="9.140625" style="191"/>
    <col min="2354" max="2354" width="17" style="191" bestFit="1" customWidth="1"/>
    <col min="2355" max="2356" width="9.140625" style="191"/>
    <col min="2357" max="2357" width="14" style="191" bestFit="1" customWidth="1"/>
    <col min="2358" max="2358" width="12" style="191" bestFit="1" customWidth="1"/>
    <col min="2359" max="2359" width="12.5703125" style="191" bestFit="1" customWidth="1"/>
    <col min="2360" max="2360" width="14" style="191" bestFit="1" customWidth="1"/>
    <col min="2361" max="2361" width="19" style="191" bestFit="1" customWidth="1"/>
    <col min="2362" max="2362" width="15.7109375" style="191" bestFit="1" customWidth="1"/>
    <col min="2363" max="2363" width="22.28515625" style="191" bestFit="1" customWidth="1"/>
    <col min="2364" max="2364" width="10.5703125" style="191" bestFit="1" customWidth="1"/>
    <col min="2365" max="2365" width="14" style="191" bestFit="1" customWidth="1"/>
    <col min="2366" max="2366" width="14.85546875" style="191" bestFit="1" customWidth="1"/>
    <col min="2367" max="2367" width="11.28515625" style="191" bestFit="1" customWidth="1"/>
    <col min="2368" max="2368" width="14.7109375" style="191" bestFit="1" customWidth="1"/>
    <col min="2369" max="2369" width="11.5703125" style="191" bestFit="1" customWidth="1"/>
    <col min="2370" max="2370" width="18" style="191" bestFit="1" customWidth="1"/>
    <col min="2371" max="2371" width="7.42578125" style="191" bestFit="1" customWidth="1"/>
    <col min="2372" max="2372" width="14" style="191" bestFit="1" customWidth="1"/>
    <col min="2373" max="2377" width="14" style="191" customWidth="1"/>
    <col min="2378" max="2378" width="13.7109375" style="191" bestFit="1" customWidth="1"/>
    <col min="2379" max="2379" width="12.140625" style="191" bestFit="1" customWidth="1"/>
    <col min="2380" max="2380" width="10.5703125" style="191" bestFit="1" customWidth="1"/>
    <col min="2381" max="2382" width="18" style="191" bestFit="1" customWidth="1"/>
    <col min="2383" max="2383" width="8.7109375" style="191" bestFit="1" customWidth="1"/>
    <col min="2384" max="2384" width="14.5703125" style="191" bestFit="1" customWidth="1"/>
    <col min="2385" max="2385" width="15.140625" style="191" bestFit="1" customWidth="1"/>
    <col min="2386" max="2386" width="14.42578125" style="191" bestFit="1" customWidth="1"/>
    <col min="2387" max="2387" width="18.140625" style="191" bestFit="1" customWidth="1"/>
    <col min="2388" max="2388" width="11.28515625" style="191" bestFit="1" customWidth="1"/>
    <col min="2389" max="2389" width="18.85546875" style="191" bestFit="1" customWidth="1"/>
    <col min="2390" max="2390" width="15.5703125" style="191" bestFit="1" customWidth="1"/>
    <col min="2391" max="2391" width="20.42578125" style="191" bestFit="1" customWidth="1"/>
    <col min="2392" max="2392" width="11.42578125" style="191" bestFit="1" customWidth="1"/>
    <col min="2393" max="2393" width="19.42578125" style="191" bestFit="1" customWidth="1"/>
    <col min="2394" max="2394" width="16.28515625" style="191" bestFit="1" customWidth="1"/>
    <col min="2395" max="2395" width="11.42578125" style="191" bestFit="1" customWidth="1"/>
    <col min="2396" max="2396" width="7.5703125" style="191" bestFit="1" customWidth="1"/>
    <col min="2397" max="2397" width="18" style="191" bestFit="1" customWidth="1"/>
    <col min="2398" max="2398" width="14.5703125" style="191" bestFit="1" customWidth="1"/>
    <col min="2399" max="2399" width="14.42578125" style="191" bestFit="1" customWidth="1"/>
    <col min="2400" max="2400" width="12.85546875" style="191" bestFit="1" customWidth="1"/>
    <col min="2401" max="2401" width="8.140625" style="191" bestFit="1" customWidth="1"/>
    <col min="2402" max="2402" width="7.7109375" style="191" bestFit="1" customWidth="1"/>
    <col min="2403" max="2403" width="18.85546875" style="191" bestFit="1" customWidth="1"/>
    <col min="2404" max="2404" width="13.7109375" style="191" bestFit="1" customWidth="1"/>
    <col min="2405" max="2405" width="7.5703125" style="191" bestFit="1" customWidth="1"/>
    <col min="2406" max="2406" width="10.85546875" style="191" bestFit="1" customWidth="1"/>
    <col min="2407" max="2407" width="12.85546875" style="191" bestFit="1" customWidth="1"/>
    <col min="2408" max="2412" width="14" style="191" customWidth="1"/>
    <col min="2413" max="2413" width="15.42578125" style="191" bestFit="1" customWidth="1"/>
    <col min="2414" max="2414" width="13.140625" style="191" bestFit="1" customWidth="1"/>
    <col min="2415" max="2415" width="18.140625" style="191" bestFit="1" customWidth="1"/>
    <col min="2416" max="2417" width="15.42578125" style="191" bestFit="1" customWidth="1"/>
    <col min="2418" max="2418" width="9.7109375" style="191" bestFit="1" customWidth="1"/>
    <col min="2419" max="2419" width="15.85546875" style="191" bestFit="1" customWidth="1"/>
    <col min="2420" max="2424" width="14" style="191" customWidth="1"/>
    <col min="2425" max="2425" width="18.42578125" style="191" bestFit="1" customWidth="1"/>
    <col min="2426" max="2426" width="15.140625" style="191" bestFit="1" customWidth="1"/>
    <col min="2427" max="2427" width="15" style="191" bestFit="1" customWidth="1"/>
    <col min="2428" max="2428" width="18.140625" style="191" bestFit="1" customWidth="1"/>
    <col min="2429" max="2429" width="8.7109375" style="191" bestFit="1" customWidth="1"/>
    <col min="2430" max="2430" width="18.42578125" style="191" bestFit="1" customWidth="1"/>
    <col min="2431" max="2431" width="14.85546875" style="191" bestFit="1" customWidth="1"/>
    <col min="2432" max="2432" width="14.140625" style="191" bestFit="1" customWidth="1"/>
    <col min="2433" max="2433" width="13.42578125" style="191" bestFit="1" customWidth="1"/>
    <col min="2434" max="2434" width="8.7109375" style="191" bestFit="1" customWidth="1"/>
    <col min="2435" max="2435" width="15.42578125" style="191" bestFit="1" customWidth="1"/>
    <col min="2436" max="2436" width="12.85546875" style="191" bestFit="1" customWidth="1"/>
    <col min="2437" max="2437" width="15.42578125" style="191" bestFit="1" customWidth="1"/>
    <col min="2438" max="2438" width="19.85546875" style="191" bestFit="1" customWidth="1"/>
    <col min="2439" max="2439" width="10.5703125" style="191" bestFit="1" customWidth="1"/>
    <col min="2440" max="2440" width="19.85546875" style="191" bestFit="1" customWidth="1"/>
    <col min="2441" max="2441" width="15.28515625" style="191" bestFit="1" customWidth="1"/>
    <col min="2442" max="2442" width="15.85546875" style="191" bestFit="1" customWidth="1"/>
    <col min="2443" max="2443" width="17.42578125" style="191" bestFit="1" customWidth="1"/>
    <col min="2444" max="2444" width="14" style="191" bestFit="1" customWidth="1"/>
    <col min="2445" max="2451" width="14" style="191" customWidth="1"/>
    <col min="2452" max="2452" width="17.42578125" style="191" bestFit="1" customWidth="1"/>
    <col min="2453" max="2453" width="14" style="191" customWidth="1"/>
    <col min="2454" max="2454" width="9.5703125" style="191" bestFit="1" customWidth="1"/>
    <col min="2455" max="2455" width="15.5703125" style="191" bestFit="1" customWidth="1"/>
    <col min="2456" max="2456" width="16.5703125" style="191" bestFit="1" customWidth="1"/>
    <col min="2457" max="2457" width="14" style="191" customWidth="1"/>
    <col min="2458" max="2458" width="9.5703125" style="191" bestFit="1" customWidth="1"/>
    <col min="2459" max="2459" width="15.5703125" style="191" bestFit="1" customWidth="1"/>
    <col min="2460" max="2460" width="16.5703125" style="191" bestFit="1" customWidth="1"/>
    <col min="2461" max="2461" width="14.140625" style="191" bestFit="1" customWidth="1"/>
    <col min="2462" max="2466" width="14" style="191" customWidth="1"/>
    <col min="2467" max="2582" width="9.140625" style="191"/>
    <col min="2583" max="2583" width="0.140625" style="191" customWidth="1"/>
    <col min="2584" max="2584" width="17.140625" style="191" customWidth="1"/>
    <col min="2585" max="2585" width="8.5703125" style="191" customWidth="1"/>
    <col min="2586" max="2594" width="0" style="191" hidden="1" customWidth="1"/>
    <col min="2595" max="2595" width="5.140625" style="191" customWidth="1"/>
    <col min="2596" max="2596" width="0" style="191" hidden="1" customWidth="1"/>
    <col min="2597" max="2597" width="4.140625" style="191" customWidth="1"/>
    <col min="2598" max="2598" width="1.7109375" style="191" customWidth="1"/>
    <col min="2599" max="2599" width="5.28515625" style="191" customWidth="1"/>
    <col min="2600" max="2600" width="12.85546875" style="191" bestFit="1" customWidth="1"/>
    <col min="2601" max="2601" width="12.85546875" style="191" customWidth="1"/>
    <col min="2602" max="2605" width="9.140625" style="191"/>
    <col min="2606" max="2606" width="27.85546875" style="191" bestFit="1" customWidth="1"/>
    <col min="2607" max="2608" width="12.7109375" style="191" customWidth="1"/>
    <col min="2609" max="2609" width="9.140625" style="191"/>
    <col min="2610" max="2610" width="17" style="191" bestFit="1" customWidth="1"/>
    <col min="2611" max="2612" width="9.140625" style="191"/>
    <col min="2613" max="2613" width="14" style="191" bestFit="1" customWidth="1"/>
    <col min="2614" max="2614" width="12" style="191" bestFit="1" customWidth="1"/>
    <col min="2615" max="2615" width="12.5703125" style="191" bestFit="1" customWidth="1"/>
    <col min="2616" max="2616" width="14" style="191" bestFit="1" customWidth="1"/>
    <col min="2617" max="2617" width="19" style="191" bestFit="1" customWidth="1"/>
    <col min="2618" max="2618" width="15.7109375" style="191" bestFit="1" customWidth="1"/>
    <col min="2619" max="2619" width="22.28515625" style="191" bestFit="1" customWidth="1"/>
    <col min="2620" max="2620" width="10.5703125" style="191" bestFit="1" customWidth="1"/>
    <col min="2621" max="2621" width="14" style="191" bestFit="1" customWidth="1"/>
    <col min="2622" max="2622" width="14.85546875" style="191" bestFit="1" customWidth="1"/>
    <col min="2623" max="2623" width="11.28515625" style="191" bestFit="1" customWidth="1"/>
    <col min="2624" max="2624" width="14.7109375" style="191" bestFit="1" customWidth="1"/>
    <col min="2625" max="2625" width="11.5703125" style="191" bestFit="1" customWidth="1"/>
    <col min="2626" max="2626" width="18" style="191" bestFit="1" customWidth="1"/>
    <col min="2627" max="2627" width="7.42578125" style="191" bestFit="1" customWidth="1"/>
    <col min="2628" max="2628" width="14" style="191" bestFit="1" customWidth="1"/>
    <col min="2629" max="2633" width="14" style="191" customWidth="1"/>
    <col min="2634" max="2634" width="13.7109375" style="191" bestFit="1" customWidth="1"/>
    <col min="2635" max="2635" width="12.140625" style="191" bestFit="1" customWidth="1"/>
    <col min="2636" max="2636" width="10.5703125" style="191" bestFit="1" customWidth="1"/>
    <col min="2637" max="2638" width="18" style="191" bestFit="1" customWidth="1"/>
    <col min="2639" max="2639" width="8.7109375" style="191" bestFit="1" customWidth="1"/>
    <col min="2640" max="2640" width="14.5703125" style="191" bestFit="1" customWidth="1"/>
    <col min="2641" max="2641" width="15.140625" style="191" bestFit="1" customWidth="1"/>
    <col min="2642" max="2642" width="14.42578125" style="191" bestFit="1" customWidth="1"/>
    <col min="2643" max="2643" width="18.140625" style="191" bestFit="1" customWidth="1"/>
    <col min="2644" max="2644" width="11.28515625" style="191" bestFit="1" customWidth="1"/>
    <col min="2645" max="2645" width="18.85546875" style="191" bestFit="1" customWidth="1"/>
    <col min="2646" max="2646" width="15.5703125" style="191" bestFit="1" customWidth="1"/>
    <col min="2647" max="2647" width="20.42578125" style="191" bestFit="1" customWidth="1"/>
    <col min="2648" max="2648" width="11.42578125" style="191" bestFit="1" customWidth="1"/>
    <col min="2649" max="2649" width="19.42578125" style="191" bestFit="1" customWidth="1"/>
    <col min="2650" max="2650" width="16.28515625" style="191" bestFit="1" customWidth="1"/>
    <col min="2651" max="2651" width="11.42578125" style="191" bestFit="1" customWidth="1"/>
    <col min="2652" max="2652" width="7.5703125" style="191" bestFit="1" customWidth="1"/>
    <col min="2653" max="2653" width="18" style="191" bestFit="1" customWidth="1"/>
    <col min="2654" max="2654" width="14.5703125" style="191" bestFit="1" customWidth="1"/>
    <col min="2655" max="2655" width="14.42578125" style="191" bestFit="1" customWidth="1"/>
    <col min="2656" max="2656" width="12.85546875" style="191" bestFit="1" customWidth="1"/>
    <col min="2657" max="2657" width="8.140625" style="191" bestFit="1" customWidth="1"/>
    <col min="2658" max="2658" width="7.7109375" style="191" bestFit="1" customWidth="1"/>
    <col min="2659" max="2659" width="18.85546875" style="191" bestFit="1" customWidth="1"/>
    <col min="2660" max="2660" width="13.7109375" style="191" bestFit="1" customWidth="1"/>
    <col min="2661" max="2661" width="7.5703125" style="191" bestFit="1" customWidth="1"/>
    <col min="2662" max="2662" width="10.85546875" style="191" bestFit="1" customWidth="1"/>
    <col min="2663" max="2663" width="12.85546875" style="191" bestFit="1" customWidth="1"/>
    <col min="2664" max="2668" width="14" style="191" customWidth="1"/>
    <col min="2669" max="2669" width="15.42578125" style="191" bestFit="1" customWidth="1"/>
    <col min="2670" max="2670" width="13.140625" style="191" bestFit="1" customWidth="1"/>
    <col min="2671" max="2671" width="18.140625" style="191" bestFit="1" customWidth="1"/>
    <col min="2672" max="2673" width="15.42578125" style="191" bestFit="1" customWidth="1"/>
    <col min="2674" max="2674" width="9.7109375" style="191" bestFit="1" customWidth="1"/>
    <col min="2675" max="2675" width="15.85546875" style="191" bestFit="1" customWidth="1"/>
    <col min="2676" max="2680" width="14" style="191" customWidth="1"/>
    <col min="2681" max="2681" width="18.42578125" style="191" bestFit="1" customWidth="1"/>
    <col min="2682" max="2682" width="15.140625" style="191" bestFit="1" customWidth="1"/>
    <col min="2683" max="2683" width="15" style="191" bestFit="1" customWidth="1"/>
    <col min="2684" max="2684" width="18.140625" style="191" bestFit="1" customWidth="1"/>
    <col min="2685" max="2685" width="8.7109375" style="191" bestFit="1" customWidth="1"/>
    <col min="2686" max="2686" width="18.42578125" style="191" bestFit="1" customWidth="1"/>
    <col min="2687" max="2687" width="14.85546875" style="191" bestFit="1" customWidth="1"/>
    <col min="2688" max="2688" width="14.140625" style="191" bestFit="1" customWidth="1"/>
    <col min="2689" max="2689" width="13.42578125" style="191" bestFit="1" customWidth="1"/>
    <col min="2690" max="2690" width="8.7109375" style="191" bestFit="1" customWidth="1"/>
    <col min="2691" max="2691" width="15.42578125" style="191" bestFit="1" customWidth="1"/>
    <col min="2692" max="2692" width="12.85546875" style="191" bestFit="1" customWidth="1"/>
    <col min="2693" max="2693" width="15.42578125" style="191" bestFit="1" customWidth="1"/>
    <col min="2694" max="2694" width="19.85546875" style="191" bestFit="1" customWidth="1"/>
    <col min="2695" max="2695" width="10.5703125" style="191" bestFit="1" customWidth="1"/>
    <col min="2696" max="2696" width="19.85546875" style="191" bestFit="1" customWidth="1"/>
    <col min="2697" max="2697" width="15.28515625" style="191" bestFit="1" customWidth="1"/>
    <col min="2698" max="2698" width="15.85546875" style="191" bestFit="1" customWidth="1"/>
    <col min="2699" max="2699" width="17.42578125" style="191" bestFit="1" customWidth="1"/>
    <col min="2700" max="2700" width="14" style="191" bestFit="1" customWidth="1"/>
    <col min="2701" max="2707" width="14" style="191" customWidth="1"/>
    <col min="2708" max="2708" width="17.42578125" style="191" bestFit="1" customWidth="1"/>
    <col min="2709" max="2709" width="14" style="191" customWidth="1"/>
    <col min="2710" max="2710" width="9.5703125" style="191" bestFit="1" customWidth="1"/>
    <col min="2711" max="2711" width="15.5703125" style="191" bestFit="1" customWidth="1"/>
    <col min="2712" max="2712" width="16.5703125" style="191" bestFit="1" customWidth="1"/>
    <col min="2713" max="2713" width="14" style="191" customWidth="1"/>
    <col min="2714" max="2714" width="9.5703125" style="191" bestFit="1" customWidth="1"/>
    <col min="2715" max="2715" width="15.5703125" style="191" bestFit="1" customWidth="1"/>
    <col min="2716" max="2716" width="16.5703125" style="191" bestFit="1" customWidth="1"/>
    <col min="2717" max="2717" width="14.140625" style="191" bestFit="1" customWidth="1"/>
    <col min="2718" max="2722" width="14" style="191" customWidth="1"/>
    <col min="2723" max="2838" width="9.140625" style="191"/>
    <col min="2839" max="2839" width="0.140625" style="191" customWidth="1"/>
    <col min="2840" max="2840" width="17.140625" style="191" customWidth="1"/>
    <col min="2841" max="2841" width="8.5703125" style="191" customWidth="1"/>
    <col min="2842" max="2850" width="0" style="191" hidden="1" customWidth="1"/>
    <col min="2851" max="2851" width="5.140625" style="191" customWidth="1"/>
    <col min="2852" max="2852" width="0" style="191" hidden="1" customWidth="1"/>
    <col min="2853" max="2853" width="4.140625" style="191" customWidth="1"/>
    <col min="2854" max="2854" width="1.7109375" style="191" customWidth="1"/>
    <col min="2855" max="2855" width="5.28515625" style="191" customWidth="1"/>
    <col min="2856" max="2856" width="12.85546875" style="191" bestFit="1" customWidth="1"/>
    <col min="2857" max="2857" width="12.85546875" style="191" customWidth="1"/>
    <col min="2858" max="2861" width="9.140625" style="191"/>
    <col min="2862" max="2862" width="27.85546875" style="191" bestFit="1" customWidth="1"/>
    <col min="2863" max="2864" width="12.7109375" style="191" customWidth="1"/>
    <col min="2865" max="2865" width="9.140625" style="191"/>
    <col min="2866" max="2866" width="17" style="191" bestFit="1" customWidth="1"/>
    <col min="2867" max="2868" width="9.140625" style="191"/>
    <col min="2869" max="2869" width="14" style="191" bestFit="1" customWidth="1"/>
    <col min="2870" max="2870" width="12" style="191" bestFit="1" customWidth="1"/>
    <col min="2871" max="2871" width="12.5703125" style="191" bestFit="1" customWidth="1"/>
    <col min="2872" max="2872" width="14" style="191" bestFit="1" customWidth="1"/>
    <col min="2873" max="2873" width="19" style="191" bestFit="1" customWidth="1"/>
    <col min="2874" max="2874" width="15.7109375" style="191" bestFit="1" customWidth="1"/>
    <col min="2875" max="2875" width="22.28515625" style="191" bestFit="1" customWidth="1"/>
    <col min="2876" max="2876" width="10.5703125" style="191" bestFit="1" customWidth="1"/>
    <col min="2877" max="2877" width="14" style="191" bestFit="1" customWidth="1"/>
    <col min="2878" max="2878" width="14.85546875" style="191" bestFit="1" customWidth="1"/>
    <col min="2879" max="2879" width="11.28515625" style="191" bestFit="1" customWidth="1"/>
    <col min="2880" max="2880" width="14.7109375" style="191" bestFit="1" customWidth="1"/>
    <col min="2881" max="2881" width="11.5703125" style="191" bestFit="1" customWidth="1"/>
    <col min="2882" max="2882" width="18" style="191" bestFit="1" customWidth="1"/>
    <col min="2883" max="2883" width="7.42578125" style="191" bestFit="1" customWidth="1"/>
    <col min="2884" max="2884" width="14" style="191" bestFit="1" customWidth="1"/>
    <col min="2885" max="2889" width="14" style="191" customWidth="1"/>
    <col min="2890" max="2890" width="13.7109375" style="191" bestFit="1" customWidth="1"/>
    <col min="2891" max="2891" width="12.140625" style="191" bestFit="1" customWidth="1"/>
    <col min="2892" max="2892" width="10.5703125" style="191" bestFit="1" customWidth="1"/>
    <col min="2893" max="2894" width="18" style="191" bestFit="1" customWidth="1"/>
    <col min="2895" max="2895" width="8.7109375" style="191" bestFit="1" customWidth="1"/>
    <col min="2896" max="2896" width="14.5703125" style="191" bestFit="1" customWidth="1"/>
    <col min="2897" max="2897" width="15.140625" style="191" bestFit="1" customWidth="1"/>
    <col min="2898" max="2898" width="14.42578125" style="191" bestFit="1" customWidth="1"/>
    <col min="2899" max="2899" width="18.140625" style="191" bestFit="1" customWidth="1"/>
    <col min="2900" max="2900" width="11.28515625" style="191" bestFit="1" customWidth="1"/>
    <col min="2901" max="2901" width="18.85546875" style="191" bestFit="1" customWidth="1"/>
    <col min="2902" max="2902" width="15.5703125" style="191" bestFit="1" customWidth="1"/>
    <col min="2903" max="2903" width="20.42578125" style="191" bestFit="1" customWidth="1"/>
    <col min="2904" max="2904" width="11.42578125" style="191" bestFit="1" customWidth="1"/>
    <col min="2905" max="2905" width="19.42578125" style="191" bestFit="1" customWidth="1"/>
    <col min="2906" max="2906" width="16.28515625" style="191" bestFit="1" customWidth="1"/>
    <col min="2907" max="2907" width="11.42578125" style="191" bestFit="1" customWidth="1"/>
    <col min="2908" max="2908" width="7.5703125" style="191" bestFit="1" customWidth="1"/>
    <col min="2909" max="2909" width="18" style="191" bestFit="1" customWidth="1"/>
    <col min="2910" max="2910" width="14.5703125" style="191" bestFit="1" customWidth="1"/>
    <col min="2911" max="2911" width="14.42578125" style="191" bestFit="1" customWidth="1"/>
    <col min="2912" max="2912" width="12.85546875" style="191" bestFit="1" customWidth="1"/>
    <col min="2913" max="2913" width="8.140625" style="191" bestFit="1" customWidth="1"/>
    <col min="2914" max="2914" width="7.7109375" style="191" bestFit="1" customWidth="1"/>
    <col min="2915" max="2915" width="18.85546875" style="191" bestFit="1" customWidth="1"/>
    <col min="2916" max="2916" width="13.7109375" style="191" bestFit="1" customWidth="1"/>
    <col min="2917" max="2917" width="7.5703125" style="191" bestFit="1" customWidth="1"/>
    <col min="2918" max="2918" width="10.85546875" style="191" bestFit="1" customWidth="1"/>
    <col min="2919" max="2919" width="12.85546875" style="191" bestFit="1" customWidth="1"/>
    <col min="2920" max="2924" width="14" style="191" customWidth="1"/>
    <col min="2925" max="2925" width="15.42578125" style="191" bestFit="1" customWidth="1"/>
    <col min="2926" max="2926" width="13.140625" style="191" bestFit="1" customWidth="1"/>
    <col min="2927" max="2927" width="18.140625" style="191" bestFit="1" customWidth="1"/>
    <col min="2928" max="2929" width="15.42578125" style="191" bestFit="1" customWidth="1"/>
    <col min="2930" max="2930" width="9.7109375" style="191" bestFit="1" customWidth="1"/>
    <col min="2931" max="2931" width="15.85546875" style="191" bestFit="1" customWidth="1"/>
    <col min="2932" max="2936" width="14" style="191" customWidth="1"/>
    <col min="2937" max="2937" width="18.42578125" style="191" bestFit="1" customWidth="1"/>
    <col min="2938" max="2938" width="15.140625" style="191" bestFit="1" customWidth="1"/>
    <col min="2939" max="2939" width="15" style="191" bestFit="1" customWidth="1"/>
    <col min="2940" max="2940" width="18.140625" style="191" bestFit="1" customWidth="1"/>
    <col min="2941" max="2941" width="8.7109375" style="191" bestFit="1" customWidth="1"/>
    <col min="2942" max="2942" width="18.42578125" style="191" bestFit="1" customWidth="1"/>
    <col min="2943" max="2943" width="14.85546875" style="191" bestFit="1" customWidth="1"/>
    <col min="2944" max="2944" width="14.140625" style="191" bestFit="1" customWidth="1"/>
    <col min="2945" max="2945" width="13.42578125" style="191" bestFit="1" customWidth="1"/>
    <col min="2946" max="2946" width="8.7109375" style="191" bestFit="1" customWidth="1"/>
    <col min="2947" max="2947" width="15.42578125" style="191" bestFit="1" customWidth="1"/>
    <col min="2948" max="2948" width="12.85546875" style="191" bestFit="1" customWidth="1"/>
    <col min="2949" max="2949" width="15.42578125" style="191" bestFit="1" customWidth="1"/>
    <col min="2950" max="2950" width="19.85546875" style="191" bestFit="1" customWidth="1"/>
    <col min="2951" max="2951" width="10.5703125" style="191" bestFit="1" customWidth="1"/>
    <col min="2952" max="2952" width="19.85546875" style="191" bestFit="1" customWidth="1"/>
    <col min="2953" max="2953" width="15.28515625" style="191" bestFit="1" customWidth="1"/>
    <col min="2954" max="2954" width="15.85546875" style="191" bestFit="1" customWidth="1"/>
    <col min="2955" max="2955" width="17.42578125" style="191" bestFit="1" customWidth="1"/>
    <col min="2956" max="2956" width="14" style="191" bestFit="1" customWidth="1"/>
    <col min="2957" max="2963" width="14" style="191" customWidth="1"/>
    <col min="2964" max="2964" width="17.42578125" style="191" bestFit="1" customWidth="1"/>
    <col min="2965" max="2965" width="14" style="191" customWidth="1"/>
    <col min="2966" max="2966" width="9.5703125" style="191" bestFit="1" customWidth="1"/>
    <col min="2967" max="2967" width="15.5703125" style="191" bestFit="1" customWidth="1"/>
    <col min="2968" max="2968" width="16.5703125" style="191" bestFit="1" customWidth="1"/>
    <col min="2969" max="2969" width="14" style="191" customWidth="1"/>
    <col min="2970" max="2970" width="9.5703125" style="191" bestFit="1" customWidth="1"/>
    <col min="2971" max="2971" width="15.5703125" style="191" bestFit="1" customWidth="1"/>
    <col min="2972" max="2972" width="16.5703125" style="191" bestFit="1" customWidth="1"/>
    <col min="2973" max="2973" width="14.140625" style="191" bestFit="1" customWidth="1"/>
    <col min="2974" max="2978" width="14" style="191" customWidth="1"/>
    <col min="2979" max="3094" width="9.140625" style="191"/>
    <col min="3095" max="3095" width="0.140625" style="191" customWidth="1"/>
    <col min="3096" max="3096" width="17.140625" style="191" customWidth="1"/>
    <col min="3097" max="3097" width="8.5703125" style="191" customWidth="1"/>
    <col min="3098" max="3106" width="0" style="191" hidden="1" customWidth="1"/>
    <col min="3107" max="3107" width="5.140625" style="191" customWidth="1"/>
    <col min="3108" max="3108" width="0" style="191" hidden="1" customWidth="1"/>
    <col min="3109" max="3109" width="4.140625" style="191" customWidth="1"/>
    <col min="3110" max="3110" width="1.7109375" style="191" customWidth="1"/>
    <col min="3111" max="3111" width="5.28515625" style="191" customWidth="1"/>
    <col min="3112" max="3112" width="12.85546875" style="191" bestFit="1" customWidth="1"/>
    <col min="3113" max="3113" width="12.85546875" style="191" customWidth="1"/>
    <col min="3114" max="3117" width="9.140625" style="191"/>
    <col min="3118" max="3118" width="27.85546875" style="191" bestFit="1" customWidth="1"/>
    <col min="3119" max="3120" width="12.7109375" style="191" customWidth="1"/>
    <col min="3121" max="3121" width="9.140625" style="191"/>
    <col min="3122" max="3122" width="17" style="191" bestFit="1" customWidth="1"/>
    <col min="3123" max="3124" width="9.140625" style="191"/>
    <col min="3125" max="3125" width="14" style="191" bestFit="1" customWidth="1"/>
    <col min="3126" max="3126" width="12" style="191" bestFit="1" customWidth="1"/>
    <col min="3127" max="3127" width="12.5703125" style="191" bestFit="1" customWidth="1"/>
    <col min="3128" max="3128" width="14" style="191" bestFit="1" customWidth="1"/>
    <col min="3129" max="3129" width="19" style="191" bestFit="1" customWidth="1"/>
    <col min="3130" max="3130" width="15.7109375" style="191" bestFit="1" customWidth="1"/>
    <col min="3131" max="3131" width="22.28515625" style="191" bestFit="1" customWidth="1"/>
    <col min="3132" max="3132" width="10.5703125" style="191" bestFit="1" customWidth="1"/>
    <col min="3133" max="3133" width="14" style="191" bestFit="1" customWidth="1"/>
    <col min="3134" max="3134" width="14.85546875" style="191" bestFit="1" customWidth="1"/>
    <col min="3135" max="3135" width="11.28515625" style="191" bestFit="1" customWidth="1"/>
    <col min="3136" max="3136" width="14.7109375" style="191" bestFit="1" customWidth="1"/>
    <col min="3137" max="3137" width="11.5703125" style="191" bestFit="1" customWidth="1"/>
    <col min="3138" max="3138" width="18" style="191" bestFit="1" customWidth="1"/>
    <col min="3139" max="3139" width="7.42578125" style="191" bestFit="1" customWidth="1"/>
    <col min="3140" max="3140" width="14" style="191" bestFit="1" customWidth="1"/>
    <col min="3141" max="3145" width="14" style="191" customWidth="1"/>
    <col min="3146" max="3146" width="13.7109375" style="191" bestFit="1" customWidth="1"/>
    <col min="3147" max="3147" width="12.140625" style="191" bestFit="1" customWidth="1"/>
    <col min="3148" max="3148" width="10.5703125" style="191" bestFit="1" customWidth="1"/>
    <col min="3149" max="3150" width="18" style="191" bestFit="1" customWidth="1"/>
    <col min="3151" max="3151" width="8.7109375" style="191" bestFit="1" customWidth="1"/>
    <col min="3152" max="3152" width="14.5703125" style="191" bestFit="1" customWidth="1"/>
    <col min="3153" max="3153" width="15.140625" style="191" bestFit="1" customWidth="1"/>
    <col min="3154" max="3154" width="14.42578125" style="191" bestFit="1" customWidth="1"/>
    <col min="3155" max="3155" width="18.140625" style="191" bestFit="1" customWidth="1"/>
    <col min="3156" max="3156" width="11.28515625" style="191" bestFit="1" customWidth="1"/>
    <col min="3157" max="3157" width="18.85546875" style="191" bestFit="1" customWidth="1"/>
    <col min="3158" max="3158" width="15.5703125" style="191" bestFit="1" customWidth="1"/>
    <col min="3159" max="3159" width="20.42578125" style="191" bestFit="1" customWidth="1"/>
    <col min="3160" max="3160" width="11.42578125" style="191" bestFit="1" customWidth="1"/>
    <col min="3161" max="3161" width="19.42578125" style="191" bestFit="1" customWidth="1"/>
    <col min="3162" max="3162" width="16.28515625" style="191" bestFit="1" customWidth="1"/>
    <col min="3163" max="3163" width="11.42578125" style="191" bestFit="1" customWidth="1"/>
    <col min="3164" max="3164" width="7.5703125" style="191" bestFit="1" customWidth="1"/>
    <col min="3165" max="3165" width="18" style="191" bestFit="1" customWidth="1"/>
    <col min="3166" max="3166" width="14.5703125" style="191" bestFit="1" customWidth="1"/>
    <col min="3167" max="3167" width="14.42578125" style="191" bestFit="1" customWidth="1"/>
    <col min="3168" max="3168" width="12.85546875" style="191" bestFit="1" customWidth="1"/>
    <col min="3169" max="3169" width="8.140625" style="191" bestFit="1" customWidth="1"/>
    <col min="3170" max="3170" width="7.7109375" style="191" bestFit="1" customWidth="1"/>
    <col min="3171" max="3171" width="18.85546875" style="191" bestFit="1" customWidth="1"/>
    <col min="3172" max="3172" width="13.7109375" style="191" bestFit="1" customWidth="1"/>
    <col min="3173" max="3173" width="7.5703125" style="191" bestFit="1" customWidth="1"/>
    <col min="3174" max="3174" width="10.85546875" style="191" bestFit="1" customWidth="1"/>
    <col min="3175" max="3175" width="12.85546875" style="191" bestFit="1" customWidth="1"/>
    <col min="3176" max="3180" width="14" style="191" customWidth="1"/>
    <col min="3181" max="3181" width="15.42578125" style="191" bestFit="1" customWidth="1"/>
    <col min="3182" max="3182" width="13.140625" style="191" bestFit="1" customWidth="1"/>
    <col min="3183" max="3183" width="18.140625" style="191" bestFit="1" customWidth="1"/>
    <col min="3184" max="3185" width="15.42578125" style="191" bestFit="1" customWidth="1"/>
    <col min="3186" max="3186" width="9.7109375" style="191" bestFit="1" customWidth="1"/>
    <col min="3187" max="3187" width="15.85546875" style="191" bestFit="1" customWidth="1"/>
    <col min="3188" max="3192" width="14" style="191" customWidth="1"/>
    <col min="3193" max="3193" width="18.42578125" style="191" bestFit="1" customWidth="1"/>
    <col min="3194" max="3194" width="15.140625" style="191" bestFit="1" customWidth="1"/>
    <col min="3195" max="3195" width="15" style="191" bestFit="1" customWidth="1"/>
    <col min="3196" max="3196" width="18.140625" style="191" bestFit="1" customWidth="1"/>
    <col min="3197" max="3197" width="8.7109375" style="191" bestFit="1" customWidth="1"/>
    <col min="3198" max="3198" width="18.42578125" style="191" bestFit="1" customWidth="1"/>
    <col min="3199" max="3199" width="14.85546875" style="191" bestFit="1" customWidth="1"/>
    <col min="3200" max="3200" width="14.140625" style="191" bestFit="1" customWidth="1"/>
    <col min="3201" max="3201" width="13.42578125" style="191" bestFit="1" customWidth="1"/>
    <col min="3202" max="3202" width="8.7109375" style="191" bestFit="1" customWidth="1"/>
    <col min="3203" max="3203" width="15.42578125" style="191" bestFit="1" customWidth="1"/>
    <col min="3204" max="3204" width="12.85546875" style="191" bestFit="1" customWidth="1"/>
    <col min="3205" max="3205" width="15.42578125" style="191" bestFit="1" customWidth="1"/>
    <col min="3206" max="3206" width="19.85546875" style="191" bestFit="1" customWidth="1"/>
    <col min="3207" max="3207" width="10.5703125" style="191" bestFit="1" customWidth="1"/>
    <col min="3208" max="3208" width="19.85546875" style="191" bestFit="1" customWidth="1"/>
    <col min="3209" max="3209" width="15.28515625" style="191" bestFit="1" customWidth="1"/>
    <col min="3210" max="3210" width="15.85546875" style="191" bestFit="1" customWidth="1"/>
    <col min="3211" max="3211" width="17.42578125" style="191" bestFit="1" customWidth="1"/>
    <col min="3212" max="3212" width="14" style="191" bestFit="1" customWidth="1"/>
    <col min="3213" max="3219" width="14" style="191" customWidth="1"/>
    <col min="3220" max="3220" width="17.42578125" style="191" bestFit="1" customWidth="1"/>
    <col min="3221" max="3221" width="14" style="191" customWidth="1"/>
    <col min="3222" max="3222" width="9.5703125" style="191" bestFit="1" customWidth="1"/>
    <col min="3223" max="3223" width="15.5703125" style="191" bestFit="1" customWidth="1"/>
    <col min="3224" max="3224" width="16.5703125" style="191" bestFit="1" customWidth="1"/>
    <col min="3225" max="3225" width="14" style="191" customWidth="1"/>
    <col min="3226" max="3226" width="9.5703125" style="191" bestFit="1" customWidth="1"/>
    <col min="3227" max="3227" width="15.5703125" style="191" bestFit="1" customWidth="1"/>
    <col min="3228" max="3228" width="16.5703125" style="191" bestFit="1" customWidth="1"/>
    <col min="3229" max="3229" width="14.140625" style="191" bestFit="1" customWidth="1"/>
    <col min="3230" max="3234" width="14" style="191" customWidth="1"/>
    <col min="3235" max="3350" width="9.140625" style="191"/>
    <col min="3351" max="3351" width="0.140625" style="191" customWidth="1"/>
    <col min="3352" max="3352" width="17.140625" style="191" customWidth="1"/>
    <col min="3353" max="3353" width="8.5703125" style="191" customWidth="1"/>
    <col min="3354" max="3362" width="0" style="191" hidden="1" customWidth="1"/>
    <col min="3363" max="3363" width="5.140625" style="191" customWidth="1"/>
    <col min="3364" max="3364" width="0" style="191" hidden="1" customWidth="1"/>
    <col min="3365" max="3365" width="4.140625" style="191" customWidth="1"/>
    <col min="3366" max="3366" width="1.7109375" style="191" customWidth="1"/>
    <col min="3367" max="3367" width="5.28515625" style="191" customWidth="1"/>
    <col min="3368" max="3368" width="12.85546875" style="191" bestFit="1" customWidth="1"/>
    <col min="3369" max="3369" width="12.85546875" style="191" customWidth="1"/>
    <col min="3370" max="3373" width="9.140625" style="191"/>
    <col min="3374" max="3374" width="27.85546875" style="191" bestFit="1" customWidth="1"/>
    <col min="3375" max="3376" width="12.7109375" style="191" customWidth="1"/>
    <col min="3377" max="3377" width="9.140625" style="191"/>
    <col min="3378" max="3378" width="17" style="191" bestFit="1" customWidth="1"/>
    <col min="3379" max="3380" width="9.140625" style="191"/>
    <col min="3381" max="3381" width="14" style="191" bestFit="1" customWidth="1"/>
    <col min="3382" max="3382" width="12" style="191" bestFit="1" customWidth="1"/>
    <col min="3383" max="3383" width="12.5703125" style="191" bestFit="1" customWidth="1"/>
    <col min="3384" max="3384" width="14" style="191" bestFit="1" customWidth="1"/>
    <col min="3385" max="3385" width="19" style="191" bestFit="1" customWidth="1"/>
    <col min="3386" max="3386" width="15.7109375" style="191" bestFit="1" customWidth="1"/>
    <col min="3387" max="3387" width="22.28515625" style="191" bestFit="1" customWidth="1"/>
    <col min="3388" max="3388" width="10.5703125" style="191" bestFit="1" customWidth="1"/>
    <col min="3389" max="3389" width="14" style="191" bestFit="1" customWidth="1"/>
    <col min="3390" max="3390" width="14.85546875" style="191" bestFit="1" customWidth="1"/>
    <col min="3391" max="3391" width="11.28515625" style="191" bestFit="1" customWidth="1"/>
    <col min="3392" max="3392" width="14.7109375" style="191" bestFit="1" customWidth="1"/>
    <col min="3393" max="3393" width="11.5703125" style="191" bestFit="1" customWidth="1"/>
    <col min="3394" max="3394" width="18" style="191" bestFit="1" customWidth="1"/>
    <col min="3395" max="3395" width="7.42578125" style="191" bestFit="1" customWidth="1"/>
    <col min="3396" max="3396" width="14" style="191" bestFit="1" customWidth="1"/>
    <col min="3397" max="3401" width="14" style="191" customWidth="1"/>
    <col min="3402" max="3402" width="13.7109375" style="191" bestFit="1" customWidth="1"/>
    <col min="3403" max="3403" width="12.140625" style="191" bestFit="1" customWidth="1"/>
    <col min="3404" max="3404" width="10.5703125" style="191" bestFit="1" customWidth="1"/>
    <col min="3405" max="3406" width="18" style="191" bestFit="1" customWidth="1"/>
    <col min="3407" max="3407" width="8.7109375" style="191" bestFit="1" customWidth="1"/>
    <col min="3408" max="3408" width="14.5703125" style="191" bestFit="1" customWidth="1"/>
    <col min="3409" max="3409" width="15.140625" style="191" bestFit="1" customWidth="1"/>
    <col min="3410" max="3410" width="14.42578125" style="191" bestFit="1" customWidth="1"/>
    <col min="3411" max="3411" width="18.140625" style="191" bestFit="1" customWidth="1"/>
    <col min="3412" max="3412" width="11.28515625" style="191" bestFit="1" customWidth="1"/>
    <col min="3413" max="3413" width="18.85546875" style="191" bestFit="1" customWidth="1"/>
    <col min="3414" max="3414" width="15.5703125" style="191" bestFit="1" customWidth="1"/>
    <col min="3415" max="3415" width="20.42578125" style="191" bestFit="1" customWidth="1"/>
    <col min="3416" max="3416" width="11.42578125" style="191" bestFit="1" customWidth="1"/>
    <col min="3417" max="3417" width="19.42578125" style="191" bestFit="1" customWidth="1"/>
    <col min="3418" max="3418" width="16.28515625" style="191" bestFit="1" customWidth="1"/>
    <col min="3419" max="3419" width="11.42578125" style="191" bestFit="1" customWidth="1"/>
    <col min="3420" max="3420" width="7.5703125" style="191" bestFit="1" customWidth="1"/>
    <col min="3421" max="3421" width="18" style="191" bestFit="1" customWidth="1"/>
    <col min="3422" max="3422" width="14.5703125" style="191" bestFit="1" customWidth="1"/>
    <col min="3423" max="3423" width="14.42578125" style="191" bestFit="1" customWidth="1"/>
    <col min="3424" max="3424" width="12.85546875" style="191" bestFit="1" customWidth="1"/>
    <col min="3425" max="3425" width="8.140625" style="191" bestFit="1" customWidth="1"/>
    <col min="3426" max="3426" width="7.7109375" style="191" bestFit="1" customWidth="1"/>
    <col min="3427" max="3427" width="18.85546875" style="191" bestFit="1" customWidth="1"/>
    <col min="3428" max="3428" width="13.7109375" style="191" bestFit="1" customWidth="1"/>
    <col min="3429" max="3429" width="7.5703125" style="191" bestFit="1" customWidth="1"/>
    <col min="3430" max="3430" width="10.85546875" style="191" bestFit="1" customWidth="1"/>
    <col min="3431" max="3431" width="12.85546875" style="191" bestFit="1" customWidth="1"/>
    <col min="3432" max="3436" width="14" style="191" customWidth="1"/>
    <col min="3437" max="3437" width="15.42578125" style="191" bestFit="1" customWidth="1"/>
    <col min="3438" max="3438" width="13.140625" style="191" bestFit="1" customWidth="1"/>
    <col min="3439" max="3439" width="18.140625" style="191" bestFit="1" customWidth="1"/>
    <col min="3440" max="3441" width="15.42578125" style="191" bestFit="1" customWidth="1"/>
    <col min="3442" max="3442" width="9.7109375" style="191" bestFit="1" customWidth="1"/>
    <col min="3443" max="3443" width="15.85546875" style="191" bestFit="1" customWidth="1"/>
    <col min="3444" max="3448" width="14" style="191" customWidth="1"/>
    <col min="3449" max="3449" width="18.42578125" style="191" bestFit="1" customWidth="1"/>
    <col min="3450" max="3450" width="15.140625" style="191" bestFit="1" customWidth="1"/>
    <col min="3451" max="3451" width="15" style="191" bestFit="1" customWidth="1"/>
    <col min="3452" max="3452" width="18.140625" style="191" bestFit="1" customWidth="1"/>
    <col min="3453" max="3453" width="8.7109375" style="191" bestFit="1" customWidth="1"/>
    <col min="3454" max="3454" width="18.42578125" style="191" bestFit="1" customWidth="1"/>
    <col min="3455" max="3455" width="14.85546875" style="191" bestFit="1" customWidth="1"/>
    <col min="3456" max="3456" width="14.140625" style="191" bestFit="1" customWidth="1"/>
    <col min="3457" max="3457" width="13.42578125" style="191" bestFit="1" customWidth="1"/>
    <col min="3458" max="3458" width="8.7109375" style="191" bestFit="1" customWidth="1"/>
    <col min="3459" max="3459" width="15.42578125" style="191" bestFit="1" customWidth="1"/>
    <col min="3460" max="3460" width="12.85546875" style="191" bestFit="1" customWidth="1"/>
    <col min="3461" max="3461" width="15.42578125" style="191" bestFit="1" customWidth="1"/>
    <col min="3462" max="3462" width="19.85546875" style="191" bestFit="1" customWidth="1"/>
    <col min="3463" max="3463" width="10.5703125" style="191" bestFit="1" customWidth="1"/>
    <col min="3464" max="3464" width="19.85546875" style="191" bestFit="1" customWidth="1"/>
    <col min="3465" max="3465" width="15.28515625" style="191" bestFit="1" customWidth="1"/>
    <col min="3466" max="3466" width="15.85546875" style="191" bestFit="1" customWidth="1"/>
    <col min="3467" max="3467" width="17.42578125" style="191" bestFit="1" customWidth="1"/>
    <col min="3468" max="3468" width="14" style="191" bestFit="1" customWidth="1"/>
    <col min="3469" max="3475" width="14" style="191" customWidth="1"/>
    <col min="3476" max="3476" width="17.42578125" style="191" bestFit="1" customWidth="1"/>
    <col min="3477" max="3477" width="14" style="191" customWidth="1"/>
    <col min="3478" max="3478" width="9.5703125" style="191" bestFit="1" customWidth="1"/>
    <col min="3479" max="3479" width="15.5703125" style="191" bestFit="1" customWidth="1"/>
    <col min="3480" max="3480" width="16.5703125" style="191" bestFit="1" customWidth="1"/>
    <col min="3481" max="3481" width="14" style="191" customWidth="1"/>
    <col min="3482" max="3482" width="9.5703125" style="191" bestFit="1" customWidth="1"/>
    <col min="3483" max="3483" width="15.5703125" style="191" bestFit="1" customWidth="1"/>
    <col min="3484" max="3484" width="16.5703125" style="191" bestFit="1" customWidth="1"/>
    <col min="3485" max="3485" width="14.140625" style="191" bestFit="1" customWidth="1"/>
    <col min="3486" max="3490" width="14" style="191" customWidth="1"/>
    <col min="3491" max="3606" width="9.140625" style="191"/>
    <col min="3607" max="3607" width="0.140625" style="191" customWidth="1"/>
    <col min="3608" max="3608" width="17.140625" style="191" customWidth="1"/>
    <col min="3609" max="3609" width="8.5703125" style="191" customWidth="1"/>
    <col min="3610" max="3618" width="0" style="191" hidden="1" customWidth="1"/>
    <col min="3619" max="3619" width="5.140625" style="191" customWidth="1"/>
    <col min="3620" max="3620" width="0" style="191" hidden="1" customWidth="1"/>
    <col min="3621" max="3621" width="4.140625" style="191" customWidth="1"/>
    <col min="3622" max="3622" width="1.7109375" style="191" customWidth="1"/>
    <col min="3623" max="3623" width="5.28515625" style="191" customWidth="1"/>
    <col min="3624" max="3624" width="12.85546875" style="191" bestFit="1" customWidth="1"/>
    <col min="3625" max="3625" width="12.85546875" style="191" customWidth="1"/>
    <col min="3626" max="3629" width="9.140625" style="191"/>
    <col min="3630" max="3630" width="27.85546875" style="191" bestFit="1" customWidth="1"/>
    <col min="3631" max="3632" width="12.7109375" style="191" customWidth="1"/>
    <col min="3633" max="3633" width="9.140625" style="191"/>
    <col min="3634" max="3634" width="17" style="191" bestFit="1" customWidth="1"/>
    <col min="3635" max="3636" width="9.140625" style="191"/>
    <col min="3637" max="3637" width="14" style="191" bestFit="1" customWidth="1"/>
    <col min="3638" max="3638" width="12" style="191" bestFit="1" customWidth="1"/>
    <col min="3639" max="3639" width="12.5703125" style="191" bestFit="1" customWidth="1"/>
    <col min="3640" max="3640" width="14" style="191" bestFit="1" customWidth="1"/>
    <col min="3641" max="3641" width="19" style="191" bestFit="1" customWidth="1"/>
    <col min="3642" max="3642" width="15.7109375" style="191" bestFit="1" customWidth="1"/>
    <col min="3643" max="3643" width="22.28515625" style="191" bestFit="1" customWidth="1"/>
    <col min="3644" max="3644" width="10.5703125" style="191" bestFit="1" customWidth="1"/>
    <col min="3645" max="3645" width="14" style="191" bestFit="1" customWidth="1"/>
    <col min="3646" max="3646" width="14.85546875" style="191" bestFit="1" customWidth="1"/>
    <col min="3647" max="3647" width="11.28515625" style="191" bestFit="1" customWidth="1"/>
    <col min="3648" max="3648" width="14.7109375" style="191" bestFit="1" customWidth="1"/>
    <col min="3649" max="3649" width="11.5703125" style="191" bestFit="1" customWidth="1"/>
    <col min="3650" max="3650" width="18" style="191" bestFit="1" customWidth="1"/>
    <col min="3651" max="3651" width="7.42578125" style="191" bestFit="1" customWidth="1"/>
    <col min="3652" max="3652" width="14" style="191" bestFit="1" customWidth="1"/>
    <col min="3653" max="3657" width="14" style="191" customWidth="1"/>
    <col min="3658" max="3658" width="13.7109375" style="191" bestFit="1" customWidth="1"/>
    <col min="3659" max="3659" width="12.140625" style="191" bestFit="1" customWidth="1"/>
    <col min="3660" max="3660" width="10.5703125" style="191" bestFit="1" customWidth="1"/>
    <col min="3661" max="3662" width="18" style="191" bestFit="1" customWidth="1"/>
    <col min="3663" max="3663" width="8.7109375" style="191" bestFit="1" customWidth="1"/>
    <col min="3664" max="3664" width="14.5703125" style="191" bestFit="1" customWidth="1"/>
    <col min="3665" max="3665" width="15.140625" style="191" bestFit="1" customWidth="1"/>
    <col min="3666" max="3666" width="14.42578125" style="191" bestFit="1" customWidth="1"/>
    <col min="3667" max="3667" width="18.140625" style="191" bestFit="1" customWidth="1"/>
    <col min="3668" max="3668" width="11.28515625" style="191" bestFit="1" customWidth="1"/>
    <col min="3669" max="3669" width="18.85546875" style="191" bestFit="1" customWidth="1"/>
    <col min="3670" max="3670" width="15.5703125" style="191" bestFit="1" customWidth="1"/>
    <col min="3671" max="3671" width="20.42578125" style="191" bestFit="1" customWidth="1"/>
    <col min="3672" max="3672" width="11.42578125" style="191" bestFit="1" customWidth="1"/>
    <col min="3673" max="3673" width="19.42578125" style="191" bestFit="1" customWidth="1"/>
    <col min="3674" max="3674" width="16.28515625" style="191" bestFit="1" customWidth="1"/>
    <col min="3675" max="3675" width="11.42578125" style="191" bestFit="1" customWidth="1"/>
    <col min="3676" max="3676" width="7.5703125" style="191" bestFit="1" customWidth="1"/>
    <col min="3677" max="3677" width="18" style="191" bestFit="1" customWidth="1"/>
    <col min="3678" max="3678" width="14.5703125" style="191" bestFit="1" customWidth="1"/>
    <col min="3679" max="3679" width="14.42578125" style="191" bestFit="1" customWidth="1"/>
    <col min="3680" max="3680" width="12.85546875" style="191" bestFit="1" customWidth="1"/>
    <col min="3681" max="3681" width="8.140625" style="191" bestFit="1" customWidth="1"/>
    <col min="3682" max="3682" width="7.7109375" style="191" bestFit="1" customWidth="1"/>
    <col min="3683" max="3683" width="18.85546875" style="191" bestFit="1" customWidth="1"/>
    <col min="3684" max="3684" width="13.7109375" style="191" bestFit="1" customWidth="1"/>
    <col min="3685" max="3685" width="7.5703125" style="191" bestFit="1" customWidth="1"/>
    <col min="3686" max="3686" width="10.85546875" style="191" bestFit="1" customWidth="1"/>
    <col min="3687" max="3687" width="12.85546875" style="191" bestFit="1" customWidth="1"/>
    <col min="3688" max="3692" width="14" style="191" customWidth="1"/>
    <col min="3693" max="3693" width="15.42578125" style="191" bestFit="1" customWidth="1"/>
    <col min="3694" max="3694" width="13.140625" style="191" bestFit="1" customWidth="1"/>
    <col min="3695" max="3695" width="18.140625" style="191" bestFit="1" customWidth="1"/>
    <col min="3696" max="3697" width="15.42578125" style="191" bestFit="1" customWidth="1"/>
    <col min="3698" max="3698" width="9.7109375" style="191" bestFit="1" customWidth="1"/>
    <col min="3699" max="3699" width="15.85546875" style="191" bestFit="1" customWidth="1"/>
    <col min="3700" max="3704" width="14" style="191" customWidth="1"/>
    <col min="3705" max="3705" width="18.42578125" style="191" bestFit="1" customWidth="1"/>
    <col min="3706" max="3706" width="15.140625" style="191" bestFit="1" customWidth="1"/>
    <col min="3707" max="3707" width="15" style="191" bestFit="1" customWidth="1"/>
    <col min="3708" max="3708" width="18.140625" style="191" bestFit="1" customWidth="1"/>
    <col min="3709" max="3709" width="8.7109375" style="191" bestFit="1" customWidth="1"/>
    <col min="3710" max="3710" width="18.42578125" style="191" bestFit="1" customWidth="1"/>
    <col min="3711" max="3711" width="14.85546875" style="191" bestFit="1" customWidth="1"/>
    <col min="3712" max="3712" width="14.140625" style="191" bestFit="1" customWidth="1"/>
    <col min="3713" max="3713" width="13.42578125" style="191" bestFit="1" customWidth="1"/>
    <col min="3714" max="3714" width="8.7109375" style="191" bestFit="1" customWidth="1"/>
    <col min="3715" max="3715" width="15.42578125" style="191" bestFit="1" customWidth="1"/>
    <col min="3716" max="3716" width="12.85546875" style="191" bestFit="1" customWidth="1"/>
    <col min="3717" max="3717" width="15.42578125" style="191" bestFit="1" customWidth="1"/>
    <col min="3718" max="3718" width="19.85546875" style="191" bestFit="1" customWidth="1"/>
    <col min="3719" max="3719" width="10.5703125" style="191" bestFit="1" customWidth="1"/>
    <col min="3720" max="3720" width="19.85546875" style="191" bestFit="1" customWidth="1"/>
    <col min="3721" max="3721" width="15.28515625" style="191" bestFit="1" customWidth="1"/>
    <col min="3722" max="3722" width="15.85546875" style="191" bestFit="1" customWidth="1"/>
    <col min="3723" max="3723" width="17.42578125" style="191" bestFit="1" customWidth="1"/>
    <col min="3724" max="3724" width="14" style="191" bestFit="1" customWidth="1"/>
    <col min="3725" max="3731" width="14" style="191" customWidth="1"/>
    <col min="3732" max="3732" width="17.42578125" style="191" bestFit="1" customWidth="1"/>
    <col min="3733" max="3733" width="14" style="191" customWidth="1"/>
    <col min="3734" max="3734" width="9.5703125" style="191" bestFit="1" customWidth="1"/>
    <col min="3735" max="3735" width="15.5703125" style="191" bestFit="1" customWidth="1"/>
    <col min="3736" max="3736" width="16.5703125" style="191" bestFit="1" customWidth="1"/>
    <col min="3737" max="3737" width="14" style="191" customWidth="1"/>
    <col min="3738" max="3738" width="9.5703125" style="191" bestFit="1" customWidth="1"/>
    <col min="3739" max="3739" width="15.5703125" style="191" bestFit="1" customWidth="1"/>
    <col min="3740" max="3740" width="16.5703125" style="191" bestFit="1" customWidth="1"/>
    <col min="3741" max="3741" width="14.140625" style="191" bestFit="1" customWidth="1"/>
    <col min="3742" max="3746" width="14" style="191" customWidth="1"/>
    <col min="3747" max="3862" width="9.140625" style="191"/>
    <col min="3863" max="3863" width="0.140625" style="191" customWidth="1"/>
    <col min="3864" max="3864" width="17.140625" style="191" customWidth="1"/>
    <col min="3865" max="3865" width="8.5703125" style="191" customWidth="1"/>
    <col min="3866" max="3874" width="0" style="191" hidden="1" customWidth="1"/>
    <col min="3875" max="3875" width="5.140625" style="191" customWidth="1"/>
    <col min="3876" max="3876" width="0" style="191" hidden="1" customWidth="1"/>
    <col min="3877" max="3877" width="4.140625" style="191" customWidth="1"/>
    <col min="3878" max="3878" width="1.7109375" style="191" customWidth="1"/>
    <col min="3879" max="3879" width="5.28515625" style="191" customWidth="1"/>
    <col min="3880" max="3880" width="12.85546875" style="191" bestFit="1" customWidth="1"/>
    <col min="3881" max="3881" width="12.85546875" style="191" customWidth="1"/>
    <col min="3882" max="3885" width="9.140625" style="191"/>
    <col min="3886" max="3886" width="27.85546875" style="191" bestFit="1" customWidth="1"/>
    <col min="3887" max="3888" width="12.7109375" style="191" customWidth="1"/>
    <col min="3889" max="3889" width="9.140625" style="191"/>
    <col min="3890" max="3890" width="17" style="191" bestFit="1" customWidth="1"/>
    <col min="3891" max="3892" width="9.140625" style="191"/>
    <col min="3893" max="3893" width="14" style="191" bestFit="1" customWidth="1"/>
    <col min="3894" max="3894" width="12" style="191" bestFit="1" customWidth="1"/>
    <col min="3895" max="3895" width="12.5703125" style="191" bestFit="1" customWidth="1"/>
    <col min="3896" max="3896" width="14" style="191" bestFit="1" customWidth="1"/>
    <col min="3897" max="3897" width="19" style="191" bestFit="1" customWidth="1"/>
    <col min="3898" max="3898" width="15.7109375" style="191" bestFit="1" customWidth="1"/>
    <col min="3899" max="3899" width="22.28515625" style="191" bestFit="1" customWidth="1"/>
    <col min="3900" max="3900" width="10.5703125" style="191" bestFit="1" customWidth="1"/>
    <col min="3901" max="3901" width="14" style="191" bestFit="1" customWidth="1"/>
    <col min="3902" max="3902" width="14.85546875" style="191" bestFit="1" customWidth="1"/>
    <col min="3903" max="3903" width="11.28515625" style="191" bestFit="1" customWidth="1"/>
    <col min="3904" max="3904" width="14.7109375" style="191" bestFit="1" customWidth="1"/>
    <col min="3905" max="3905" width="11.5703125" style="191" bestFit="1" customWidth="1"/>
    <col min="3906" max="3906" width="18" style="191" bestFit="1" customWidth="1"/>
    <col min="3907" max="3907" width="7.42578125" style="191" bestFit="1" customWidth="1"/>
    <col min="3908" max="3908" width="14" style="191" bestFit="1" customWidth="1"/>
    <col min="3909" max="3913" width="14" style="191" customWidth="1"/>
    <col min="3914" max="3914" width="13.7109375" style="191" bestFit="1" customWidth="1"/>
    <col min="3915" max="3915" width="12.140625" style="191" bestFit="1" customWidth="1"/>
    <col min="3916" max="3916" width="10.5703125" style="191" bestFit="1" customWidth="1"/>
    <col min="3917" max="3918" width="18" style="191" bestFit="1" customWidth="1"/>
    <col min="3919" max="3919" width="8.7109375" style="191" bestFit="1" customWidth="1"/>
    <col min="3920" max="3920" width="14.5703125" style="191" bestFit="1" customWidth="1"/>
    <col min="3921" max="3921" width="15.140625" style="191" bestFit="1" customWidth="1"/>
    <col min="3922" max="3922" width="14.42578125" style="191" bestFit="1" customWidth="1"/>
    <col min="3923" max="3923" width="18.140625" style="191" bestFit="1" customWidth="1"/>
    <col min="3924" max="3924" width="11.28515625" style="191" bestFit="1" customWidth="1"/>
    <col min="3925" max="3925" width="18.85546875" style="191" bestFit="1" customWidth="1"/>
    <col min="3926" max="3926" width="15.5703125" style="191" bestFit="1" customWidth="1"/>
    <col min="3927" max="3927" width="20.42578125" style="191" bestFit="1" customWidth="1"/>
    <col min="3928" max="3928" width="11.42578125" style="191" bestFit="1" customWidth="1"/>
    <col min="3929" max="3929" width="19.42578125" style="191" bestFit="1" customWidth="1"/>
    <col min="3930" max="3930" width="16.28515625" style="191" bestFit="1" customWidth="1"/>
    <col min="3931" max="3931" width="11.42578125" style="191" bestFit="1" customWidth="1"/>
    <col min="3932" max="3932" width="7.5703125" style="191" bestFit="1" customWidth="1"/>
    <col min="3933" max="3933" width="18" style="191" bestFit="1" customWidth="1"/>
    <col min="3934" max="3934" width="14.5703125" style="191" bestFit="1" customWidth="1"/>
    <col min="3935" max="3935" width="14.42578125" style="191" bestFit="1" customWidth="1"/>
    <col min="3936" max="3936" width="12.85546875" style="191" bestFit="1" customWidth="1"/>
    <col min="3937" max="3937" width="8.140625" style="191" bestFit="1" customWidth="1"/>
    <col min="3938" max="3938" width="7.7109375" style="191" bestFit="1" customWidth="1"/>
    <col min="3939" max="3939" width="18.85546875" style="191" bestFit="1" customWidth="1"/>
    <col min="3940" max="3940" width="13.7109375" style="191" bestFit="1" customWidth="1"/>
    <col min="3941" max="3941" width="7.5703125" style="191" bestFit="1" customWidth="1"/>
    <col min="3942" max="3942" width="10.85546875" style="191" bestFit="1" customWidth="1"/>
    <col min="3943" max="3943" width="12.85546875" style="191" bestFit="1" customWidth="1"/>
    <col min="3944" max="3948" width="14" style="191" customWidth="1"/>
    <col min="3949" max="3949" width="15.42578125" style="191" bestFit="1" customWidth="1"/>
    <col min="3950" max="3950" width="13.140625" style="191" bestFit="1" customWidth="1"/>
    <col min="3951" max="3951" width="18.140625" style="191" bestFit="1" customWidth="1"/>
    <col min="3952" max="3953" width="15.42578125" style="191" bestFit="1" customWidth="1"/>
    <col min="3954" max="3954" width="9.7109375" style="191" bestFit="1" customWidth="1"/>
    <col min="3955" max="3955" width="15.85546875" style="191" bestFit="1" customWidth="1"/>
    <col min="3956" max="3960" width="14" style="191" customWidth="1"/>
    <col min="3961" max="3961" width="18.42578125" style="191" bestFit="1" customWidth="1"/>
    <col min="3962" max="3962" width="15.140625" style="191" bestFit="1" customWidth="1"/>
    <col min="3963" max="3963" width="15" style="191" bestFit="1" customWidth="1"/>
    <col min="3964" max="3964" width="18.140625" style="191" bestFit="1" customWidth="1"/>
    <col min="3965" max="3965" width="8.7109375" style="191" bestFit="1" customWidth="1"/>
    <col min="3966" max="3966" width="18.42578125" style="191" bestFit="1" customWidth="1"/>
    <col min="3967" max="3967" width="14.85546875" style="191" bestFit="1" customWidth="1"/>
    <col min="3968" max="3968" width="14.140625" style="191" bestFit="1" customWidth="1"/>
    <col min="3969" max="3969" width="13.42578125" style="191" bestFit="1" customWidth="1"/>
    <col min="3970" max="3970" width="8.7109375" style="191" bestFit="1" customWidth="1"/>
    <col min="3971" max="3971" width="15.42578125" style="191" bestFit="1" customWidth="1"/>
    <col min="3972" max="3972" width="12.85546875" style="191" bestFit="1" customWidth="1"/>
    <col min="3973" max="3973" width="15.42578125" style="191" bestFit="1" customWidth="1"/>
    <col min="3974" max="3974" width="19.85546875" style="191" bestFit="1" customWidth="1"/>
    <col min="3975" max="3975" width="10.5703125" style="191" bestFit="1" customWidth="1"/>
    <col min="3976" max="3976" width="19.85546875" style="191" bestFit="1" customWidth="1"/>
    <col min="3977" max="3977" width="15.28515625" style="191" bestFit="1" customWidth="1"/>
    <col min="3978" max="3978" width="15.85546875" style="191" bestFit="1" customWidth="1"/>
    <col min="3979" max="3979" width="17.42578125" style="191" bestFit="1" customWidth="1"/>
    <col min="3980" max="3980" width="14" style="191" bestFit="1" customWidth="1"/>
    <col min="3981" max="3987" width="14" style="191" customWidth="1"/>
    <col min="3988" max="3988" width="17.42578125" style="191" bestFit="1" customWidth="1"/>
    <col min="3989" max="3989" width="14" style="191" customWidth="1"/>
    <col min="3990" max="3990" width="9.5703125" style="191" bestFit="1" customWidth="1"/>
    <col min="3991" max="3991" width="15.5703125" style="191" bestFit="1" customWidth="1"/>
    <col min="3992" max="3992" width="16.5703125" style="191" bestFit="1" customWidth="1"/>
    <col min="3993" max="3993" width="14" style="191" customWidth="1"/>
    <col min="3994" max="3994" width="9.5703125" style="191" bestFit="1" customWidth="1"/>
    <col min="3995" max="3995" width="15.5703125" style="191" bestFit="1" customWidth="1"/>
    <col min="3996" max="3996" width="16.5703125" style="191" bestFit="1" customWidth="1"/>
    <col min="3997" max="3997" width="14.140625" style="191" bestFit="1" customWidth="1"/>
    <col min="3998" max="4002" width="14" style="191" customWidth="1"/>
    <col min="4003" max="4118" width="9.140625" style="191"/>
    <col min="4119" max="4119" width="0.140625" style="191" customWidth="1"/>
    <col min="4120" max="4120" width="17.140625" style="191" customWidth="1"/>
    <col min="4121" max="4121" width="8.5703125" style="191" customWidth="1"/>
    <col min="4122" max="4130" width="0" style="191" hidden="1" customWidth="1"/>
    <col min="4131" max="4131" width="5.140625" style="191" customWidth="1"/>
    <col min="4132" max="4132" width="0" style="191" hidden="1" customWidth="1"/>
    <col min="4133" max="4133" width="4.140625" style="191" customWidth="1"/>
    <col min="4134" max="4134" width="1.7109375" style="191" customWidth="1"/>
    <col min="4135" max="4135" width="5.28515625" style="191" customWidth="1"/>
    <col min="4136" max="4136" width="12.85546875" style="191" bestFit="1" customWidth="1"/>
    <col min="4137" max="4137" width="12.85546875" style="191" customWidth="1"/>
    <col min="4138" max="4141" width="9.140625" style="191"/>
    <col min="4142" max="4142" width="27.85546875" style="191" bestFit="1" customWidth="1"/>
    <col min="4143" max="4144" width="12.7109375" style="191" customWidth="1"/>
    <col min="4145" max="4145" width="9.140625" style="191"/>
    <col min="4146" max="4146" width="17" style="191" bestFit="1" customWidth="1"/>
    <col min="4147" max="4148" width="9.140625" style="191"/>
    <col min="4149" max="4149" width="14" style="191" bestFit="1" customWidth="1"/>
    <col min="4150" max="4150" width="12" style="191" bestFit="1" customWidth="1"/>
    <col min="4151" max="4151" width="12.5703125" style="191" bestFit="1" customWidth="1"/>
    <col min="4152" max="4152" width="14" style="191" bestFit="1" customWidth="1"/>
    <col min="4153" max="4153" width="19" style="191" bestFit="1" customWidth="1"/>
    <col min="4154" max="4154" width="15.7109375" style="191" bestFit="1" customWidth="1"/>
    <col min="4155" max="4155" width="22.28515625" style="191" bestFit="1" customWidth="1"/>
    <col min="4156" max="4156" width="10.5703125" style="191" bestFit="1" customWidth="1"/>
    <col min="4157" max="4157" width="14" style="191" bestFit="1" customWidth="1"/>
    <col min="4158" max="4158" width="14.85546875" style="191" bestFit="1" customWidth="1"/>
    <col min="4159" max="4159" width="11.28515625" style="191" bestFit="1" customWidth="1"/>
    <col min="4160" max="4160" width="14.7109375" style="191" bestFit="1" customWidth="1"/>
    <col min="4161" max="4161" width="11.5703125" style="191" bestFit="1" customWidth="1"/>
    <col min="4162" max="4162" width="18" style="191" bestFit="1" customWidth="1"/>
    <col min="4163" max="4163" width="7.42578125" style="191" bestFit="1" customWidth="1"/>
    <col min="4164" max="4164" width="14" style="191" bestFit="1" customWidth="1"/>
    <col min="4165" max="4169" width="14" style="191" customWidth="1"/>
    <col min="4170" max="4170" width="13.7109375" style="191" bestFit="1" customWidth="1"/>
    <col min="4171" max="4171" width="12.140625" style="191" bestFit="1" customWidth="1"/>
    <col min="4172" max="4172" width="10.5703125" style="191" bestFit="1" customWidth="1"/>
    <col min="4173" max="4174" width="18" style="191" bestFit="1" customWidth="1"/>
    <col min="4175" max="4175" width="8.7109375" style="191" bestFit="1" customWidth="1"/>
    <col min="4176" max="4176" width="14.5703125" style="191" bestFit="1" customWidth="1"/>
    <col min="4177" max="4177" width="15.140625" style="191" bestFit="1" customWidth="1"/>
    <col min="4178" max="4178" width="14.42578125" style="191" bestFit="1" customWidth="1"/>
    <col min="4179" max="4179" width="18.140625" style="191" bestFit="1" customWidth="1"/>
    <col min="4180" max="4180" width="11.28515625" style="191" bestFit="1" customWidth="1"/>
    <col min="4181" max="4181" width="18.85546875" style="191" bestFit="1" customWidth="1"/>
    <col min="4182" max="4182" width="15.5703125" style="191" bestFit="1" customWidth="1"/>
    <col min="4183" max="4183" width="20.42578125" style="191" bestFit="1" customWidth="1"/>
    <col min="4184" max="4184" width="11.42578125" style="191" bestFit="1" customWidth="1"/>
    <col min="4185" max="4185" width="19.42578125" style="191" bestFit="1" customWidth="1"/>
    <col min="4186" max="4186" width="16.28515625" style="191" bestFit="1" customWidth="1"/>
    <col min="4187" max="4187" width="11.42578125" style="191" bestFit="1" customWidth="1"/>
    <col min="4188" max="4188" width="7.5703125" style="191" bestFit="1" customWidth="1"/>
    <col min="4189" max="4189" width="18" style="191" bestFit="1" customWidth="1"/>
    <col min="4190" max="4190" width="14.5703125" style="191" bestFit="1" customWidth="1"/>
    <col min="4191" max="4191" width="14.42578125" style="191" bestFit="1" customWidth="1"/>
    <col min="4192" max="4192" width="12.85546875" style="191" bestFit="1" customWidth="1"/>
    <col min="4193" max="4193" width="8.140625" style="191" bestFit="1" customWidth="1"/>
    <col min="4194" max="4194" width="7.7109375" style="191" bestFit="1" customWidth="1"/>
    <col min="4195" max="4195" width="18.85546875" style="191" bestFit="1" customWidth="1"/>
    <col min="4196" max="4196" width="13.7109375" style="191" bestFit="1" customWidth="1"/>
    <col min="4197" max="4197" width="7.5703125" style="191" bestFit="1" customWidth="1"/>
    <col min="4198" max="4198" width="10.85546875" style="191" bestFit="1" customWidth="1"/>
    <col min="4199" max="4199" width="12.85546875" style="191" bestFit="1" customWidth="1"/>
    <col min="4200" max="4204" width="14" style="191" customWidth="1"/>
    <col min="4205" max="4205" width="15.42578125" style="191" bestFit="1" customWidth="1"/>
    <col min="4206" max="4206" width="13.140625" style="191" bestFit="1" customWidth="1"/>
    <col min="4207" max="4207" width="18.140625" style="191" bestFit="1" customWidth="1"/>
    <col min="4208" max="4209" width="15.42578125" style="191" bestFit="1" customWidth="1"/>
    <col min="4210" max="4210" width="9.7109375" style="191" bestFit="1" customWidth="1"/>
    <col min="4211" max="4211" width="15.85546875" style="191" bestFit="1" customWidth="1"/>
    <col min="4212" max="4216" width="14" style="191" customWidth="1"/>
    <col min="4217" max="4217" width="18.42578125" style="191" bestFit="1" customWidth="1"/>
    <col min="4218" max="4218" width="15.140625" style="191" bestFit="1" customWidth="1"/>
    <col min="4219" max="4219" width="15" style="191" bestFit="1" customWidth="1"/>
    <col min="4220" max="4220" width="18.140625" style="191" bestFit="1" customWidth="1"/>
    <col min="4221" max="4221" width="8.7109375" style="191" bestFit="1" customWidth="1"/>
    <col min="4222" max="4222" width="18.42578125" style="191" bestFit="1" customWidth="1"/>
    <col min="4223" max="4223" width="14.85546875" style="191" bestFit="1" customWidth="1"/>
    <col min="4224" max="4224" width="14.140625" style="191" bestFit="1" customWidth="1"/>
    <col min="4225" max="4225" width="13.42578125" style="191" bestFit="1" customWidth="1"/>
    <col min="4226" max="4226" width="8.7109375" style="191" bestFit="1" customWidth="1"/>
    <col min="4227" max="4227" width="15.42578125" style="191" bestFit="1" customWidth="1"/>
    <col min="4228" max="4228" width="12.85546875" style="191" bestFit="1" customWidth="1"/>
    <col min="4229" max="4229" width="15.42578125" style="191" bestFit="1" customWidth="1"/>
    <col min="4230" max="4230" width="19.85546875" style="191" bestFit="1" customWidth="1"/>
    <col min="4231" max="4231" width="10.5703125" style="191" bestFit="1" customWidth="1"/>
    <col min="4232" max="4232" width="19.85546875" style="191" bestFit="1" customWidth="1"/>
    <col min="4233" max="4233" width="15.28515625" style="191" bestFit="1" customWidth="1"/>
    <col min="4234" max="4234" width="15.85546875" style="191" bestFit="1" customWidth="1"/>
    <col min="4235" max="4235" width="17.42578125" style="191" bestFit="1" customWidth="1"/>
    <col min="4236" max="4236" width="14" style="191" bestFit="1" customWidth="1"/>
    <col min="4237" max="4243" width="14" style="191" customWidth="1"/>
    <col min="4244" max="4244" width="17.42578125" style="191" bestFit="1" customWidth="1"/>
    <col min="4245" max="4245" width="14" style="191" customWidth="1"/>
    <col min="4246" max="4246" width="9.5703125" style="191" bestFit="1" customWidth="1"/>
    <col min="4247" max="4247" width="15.5703125" style="191" bestFit="1" customWidth="1"/>
    <col min="4248" max="4248" width="16.5703125" style="191" bestFit="1" customWidth="1"/>
    <col min="4249" max="4249" width="14" style="191" customWidth="1"/>
    <col min="4250" max="4250" width="9.5703125" style="191" bestFit="1" customWidth="1"/>
    <col min="4251" max="4251" width="15.5703125" style="191" bestFit="1" customWidth="1"/>
    <col min="4252" max="4252" width="16.5703125" style="191" bestFit="1" customWidth="1"/>
    <col min="4253" max="4253" width="14.140625" style="191" bestFit="1" customWidth="1"/>
    <col min="4254" max="4258" width="14" style="191" customWidth="1"/>
    <col min="4259" max="4374" width="9.140625" style="191"/>
    <col min="4375" max="4375" width="0.140625" style="191" customWidth="1"/>
    <col min="4376" max="4376" width="17.140625" style="191" customWidth="1"/>
    <col min="4377" max="4377" width="8.5703125" style="191" customWidth="1"/>
    <col min="4378" max="4386" width="0" style="191" hidden="1" customWidth="1"/>
    <col min="4387" max="4387" width="5.140625" style="191" customWidth="1"/>
    <col min="4388" max="4388" width="0" style="191" hidden="1" customWidth="1"/>
    <col min="4389" max="4389" width="4.140625" style="191" customWidth="1"/>
    <col min="4390" max="4390" width="1.7109375" style="191" customWidth="1"/>
    <col min="4391" max="4391" width="5.28515625" style="191" customWidth="1"/>
    <col min="4392" max="4392" width="12.85546875" style="191" bestFit="1" customWidth="1"/>
    <col min="4393" max="4393" width="12.85546875" style="191" customWidth="1"/>
    <col min="4394" max="4397" width="9.140625" style="191"/>
    <col min="4398" max="4398" width="27.85546875" style="191" bestFit="1" customWidth="1"/>
    <col min="4399" max="4400" width="12.7109375" style="191" customWidth="1"/>
    <col min="4401" max="4401" width="9.140625" style="191"/>
    <col min="4402" max="4402" width="17" style="191" bestFit="1" customWidth="1"/>
    <col min="4403" max="4404" width="9.140625" style="191"/>
    <col min="4405" max="4405" width="14" style="191" bestFit="1" customWidth="1"/>
    <col min="4406" max="4406" width="12" style="191" bestFit="1" customWidth="1"/>
    <col min="4407" max="4407" width="12.5703125" style="191" bestFit="1" customWidth="1"/>
    <col min="4408" max="4408" width="14" style="191" bestFit="1" customWidth="1"/>
    <col min="4409" max="4409" width="19" style="191" bestFit="1" customWidth="1"/>
    <col min="4410" max="4410" width="15.7109375" style="191" bestFit="1" customWidth="1"/>
    <col min="4411" max="4411" width="22.28515625" style="191" bestFit="1" customWidth="1"/>
    <col min="4412" max="4412" width="10.5703125" style="191" bestFit="1" customWidth="1"/>
    <col min="4413" max="4413" width="14" style="191" bestFit="1" customWidth="1"/>
    <col min="4414" max="4414" width="14.85546875" style="191" bestFit="1" customWidth="1"/>
    <col min="4415" max="4415" width="11.28515625" style="191" bestFit="1" customWidth="1"/>
    <col min="4416" max="4416" width="14.7109375" style="191" bestFit="1" customWidth="1"/>
    <col min="4417" max="4417" width="11.5703125" style="191" bestFit="1" customWidth="1"/>
    <col min="4418" max="4418" width="18" style="191" bestFit="1" customWidth="1"/>
    <col min="4419" max="4419" width="7.42578125" style="191" bestFit="1" customWidth="1"/>
    <col min="4420" max="4420" width="14" style="191" bestFit="1" customWidth="1"/>
    <col min="4421" max="4425" width="14" style="191" customWidth="1"/>
    <col min="4426" max="4426" width="13.7109375" style="191" bestFit="1" customWidth="1"/>
    <col min="4427" max="4427" width="12.140625" style="191" bestFit="1" customWidth="1"/>
    <col min="4428" max="4428" width="10.5703125" style="191" bestFit="1" customWidth="1"/>
    <col min="4429" max="4430" width="18" style="191" bestFit="1" customWidth="1"/>
    <col min="4431" max="4431" width="8.7109375" style="191" bestFit="1" customWidth="1"/>
    <col min="4432" max="4432" width="14.5703125" style="191" bestFit="1" customWidth="1"/>
    <col min="4433" max="4433" width="15.140625" style="191" bestFit="1" customWidth="1"/>
    <col min="4434" max="4434" width="14.42578125" style="191" bestFit="1" customWidth="1"/>
    <col min="4435" max="4435" width="18.140625" style="191" bestFit="1" customWidth="1"/>
    <col min="4436" max="4436" width="11.28515625" style="191" bestFit="1" customWidth="1"/>
    <col min="4437" max="4437" width="18.85546875" style="191" bestFit="1" customWidth="1"/>
    <col min="4438" max="4438" width="15.5703125" style="191" bestFit="1" customWidth="1"/>
    <col min="4439" max="4439" width="20.42578125" style="191" bestFit="1" customWidth="1"/>
    <col min="4440" max="4440" width="11.42578125" style="191" bestFit="1" customWidth="1"/>
    <col min="4441" max="4441" width="19.42578125" style="191" bestFit="1" customWidth="1"/>
    <col min="4442" max="4442" width="16.28515625" style="191" bestFit="1" customWidth="1"/>
    <col min="4443" max="4443" width="11.42578125" style="191" bestFit="1" customWidth="1"/>
    <col min="4444" max="4444" width="7.5703125" style="191" bestFit="1" customWidth="1"/>
    <col min="4445" max="4445" width="18" style="191" bestFit="1" customWidth="1"/>
    <col min="4446" max="4446" width="14.5703125" style="191" bestFit="1" customWidth="1"/>
    <col min="4447" max="4447" width="14.42578125" style="191" bestFit="1" customWidth="1"/>
    <col min="4448" max="4448" width="12.85546875" style="191" bestFit="1" customWidth="1"/>
    <col min="4449" max="4449" width="8.140625" style="191" bestFit="1" customWidth="1"/>
    <col min="4450" max="4450" width="7.7109375" style="191" bestFit="1" customWidth="1"/>
    <col min="4451" max="4451" width="18.85546875" style="191" bestFit="1" customWidth="1"/>
    <col min="4452" max="4452" width="13.7109375" style="191" bestFit="1" customWidth="1"/>
    <col min="4453" max="4453" width="7.5703125" style="191" bestFit="1" customWidth="1"/>
    <col min="4454" max="4454" width="10.85546875" style="191" bestFit="1" customWidth="1"/>
    <col min="4455" max="4455" width="12.85546875" style="191" bestFit="1" customWidth="1"/>
    <col min="4456" max="4460" width="14" style="191" customWidth="1"/>
    <col min="4461" max="4461" width="15.42578125" style="191" bestFit="1" customWidth="1"/>
    <col min="4462" max="4462" width="13.140625" style="191" bestFit="1" customWidth="1"/>
    <col min="4463" max="4463" width="18.140625" style="191" bestFit="1" customWidth="1"/>
    <col min="4464" max="4465" width="15.42578125" style="191" bestFit="1" customWidth="1"/>
    <col min="4466" max="4466" width="9.7109375" style="191" bestFit="1" customWidth="1"/>
    <col min="4467" max="4467" width="15.85546875" style="191" bestFit="1" customWidth="1"/>
    <col min="4468" max="4472" width="14" style="191" customWidth="1"/>
    <col min="4473" max="4473" width="18.42578125" style="191" bestFit="1" customWidth="1"/>
    <col min="4474" max="4474" width="15.140625" style="191" bestFit="1" customWidth="1"/>
    <col min="4475" max="4475" width="15" style="191" bestFit="1" customWidth="1"/>
    <col min="4476" max="4476" width="18.140625" style="191" bestFit="1" customWidth="1"/>
    <col min="4477" max="4477" width="8.7109375" style="191" bestFit="1" customWidth="1"/>
    <col min="4478" max="4478" width="18.42578125" style="191" bestFit="1" customWidth="1"/>
    <col min="4479" max="4479" width="14.85546875" style="191" bestFit="1" customWidth="1"/>
    <col min="4480" max="4480" width="14.140625" style="191" bestFit="1" customWidth="1"/>
    <col min="4481" max="4481" width="13.42578125" style="191" bestFit="1" customWidth="1"/>
    <col min="4482" max="4482" width="8.7109375" style="191" bestFit="1" customWidth="1"/>
    <col min="4483" max="4483" width="15.42578125" style="191" bestFit="1" customWidth="1"/>
    <col min="4484" max="4484" width="12.85546875" style="191" bestFit="1" customWidth="1"/>
    <col min="4485" max="4485" width="15.42578125" style="191" bestFit="1" customWidth="1"/>
    <col min="4486" max="4486" width="19.85546875" style="191" bestFit="1" customWidth="1"/>
    <col min="4487" max="4487" width="10.5703125" style="191" bestFit="1" customWidth="1"/>
    <col min="4488" max="4488" width="19.85546875" style="191" bestFit="1" customWidth="1"/>
    <col min="4489" max="4489" width="15.28515625" style="191" bestFit="1" customWidth="1"/>
    <col min="4490" max="4490" width="15.85546875" style="191" bestFit="1" customWidth="1"/>
    <col min="4491" max="4491" width="17.42578125" style="191" bestFit="1" customWidth="1"/>
    <col min="4492" max="4492" width="14" style="191" bestFit="1" customWidth="1"/>
    <col min="4493" max="4499" width="14" style="191" customWidth="1"/>
    <col min="4500" max="4500" width="17.42578125" style="191" bestFit="1" customWidth="1"/>
    <col min="4501" max="4501" width="14" style="191" customWidth="1"/>
    <col min="4502" max="4502" width="9.5703125" style="191" bestFit="1" customWidth="1"/>
    <col min="4503" max="4503" width="15.5703125" style="191" bestFit="1" customWidth="1"/>
    <col min="4504" max="4504" width="16.5703125" style="191" bestFit="1" customWidth="1"/>
    <col min="4505" max="4505" width="14" style="191" customWidth="1"/>
    <col min="4506" max="4506" width="9.5703125" style="191" bestFit="1" customWidth="1"/>
    <col min="4507" max="4507" width="15.5703125" style="191" bestFit="1" customWidth="1"/>
    <col min="4508" max="4508" width="16.5703125" style="191" bestFit="1" customWidth="1"/>
    <col min="4509" max="4509" width="14.140625" style="191" bestFit="1" customWidth="1"/>
    <col min="4510" max="4514" width="14" style="191" customWidth="1"/>
    <col min="4515" max="4630" width="9.140625" style="191"/>
    <col min="4631" max="4631" width="0.140625" style="191" customWidth="1"/>
    <col min="4632" max="4632" width="17.140625" style="191" customWidth="1"/>
    <col min="4633" max="4633" width="8.5703125" style="191" customWidth="1"/>
    <col min="4634" max="4642" width="0" style="191" hidden="1" customWidth="1"/>
    <col min="4643" max="4643" width="5.140625" style="191" customWidth="1"/>
    <col min="4644" max="4644" width="0" style="191" hidden="1" customWidth="1"/>
    <col min="4645" max="4645" width="4.140625" style="191" customWidth="1"/>
    <col min="4646" max="4646" width="1.7109375" style="191" customWidth="1"/>
    <col min="4647" max="4647" width="5.28515625" style="191" customWidth="1"/>
    <col min="4648" max="4648" width="12.85546875" style="191" bestFit="1" customWidth="1"/>
    <col min="4649" max="4649" width="12.85546875" style="191" customWidth="1"/>
    <col min="4650" max="4653" width="9.140625" style="191"/>
    <col min="4654" max="4654" width="27.85546875" style="191" bestFit="1" customWidth="1"/>
    <col min="4655" max="4656" width="12.7109375" style="191" customWidth="1"/>
    <col min="4657" max="4657" width="9.140625" style="191"/>
    <col min="4658" max="4658" width="17" style="191" bestFit="1" customWidth="1"/>
    <col min="4659" max="4660" width="9.140625" style="191"/>
    <col min="4661" max="4661" width="14" style="191" bestFit="1" customWidth="1"/>
    <col min="4662" max="4662" width="12" style="191" bestFit="1" customWidth="1"/>
    <col min="4663" max="4663" width="12.5703125" style="191" bestFit="1" customWidth="1"/>
    <col min="4664" max="4664" width="14" style="191" bestFit="1" customWidth="1"/>
    <col min="4665" max="4665" width="19" style="191" bestFit="1" customWidth="1"/>
    <col min="4666" max="4666" width="15.7109375" style="191" bestFit="1" customWidth="1"/>
    <col min="4667" max="4667" width="22.28515625" style="191" bestFit="1" customWidth="1"/>
    <col min="4668" max="4668" width="10.5703125" style="191" bestFit="1" customWidth="1"/>
    <col min="4669" max="4669" width="14" style="191" bestFit="1" customWidth="1"/>
    <col min="4670" max="4670" width="14.85546875" style="191" bestFit="1" customWidth="1"/>
    <col min="4671" max="4671" width="11.28515625" style="191" bestFit="1" customWidth="1"/>
    <col min="4672" max="4672" width="14.7109375" style="191" bestFit="1" customWidth="1"/>
    <col min="4673" max="4673" width="11.5703125" style="191" bestFit="1" customWidth="1"/>
    <col min="4674" max="4674" width="18" style="191" bestFit="1" customWidth="1"/>
    <col min="4675" max="4675" width="7.42578125" style="191" bestFit="1" customWidth="1"/>
    <col min="4676" max="4676" width="14" style="191" bestFit="1" customWidth="1"/>
    <col min="4677" max="4681" width="14" style="191" customWidth="1"/>
    <col min="4682" max="4682" width="13.7109375" style="191" bestFit="1" customWidth="1"/>
    <col min="4683" max="4683" width="12.140625" style="191" bestFit="1" customWidth="1"/>
    <col min="4684" max="4684" width="10.5703125" style="191" bestFit="1" customWidth="1"/>
    <col min="4685" max="4686" width="18" style="191" bestFit="1" customWidth="1"/>
    <col min="4687" max="4687" width="8.7109375" style="191" bestFit="1" customWidth="1"/>
    <col min="4688" max="4688" width="14.5703125" style="191" bestFit="1" customWidth="1"/>
    <col min="4689" max="4689" width="15.140625" style="191" bestFit="1" customWidth="1"/>
    <col min="4690" max="4690" width="14.42578125" style="191" bestFit="1" customWidth="1"/>
    <col min="4691" max="4691" width="18.140625" style="191" bestFit="1" customWidth="1"/>
    <col min="4692" max="4692" width="11.28515625" style="191" bestFit="1" customWidth="1"/>
    <col min="4693" max="4693" width="18.85546875" style="191" bestFit="1" customWidth="1"/>
    <col min="4694" max="4694" width="15.5703125" style="191" bestFit="1" customWidth="1"/>
    <col min="4695" max="4695" width="20.42578125" style="191" bestFit="1" customWidth="1"/>
    <col min="4696" max="4696" width="11.42578125" style="191" bestFit="1" customWidth="1"/>
    <col min="4697" max="4697" width="19.42578125" style="191" bestFit="1" customWidth="1"/>
    <col min="4698" max="4698" width="16.28515625" style="191" bestFit="1" customWidth="1"/>
    <col min="4699" max="4699" width="11.42578125" style="191" bestFit="1" customWidth="1"/>
    <col min="4700" max="4700" width="7.5703125" style="191" bestFit="1" customWidth="1"/>
    <col min="4701" max="4701" width="18" style="191" bestFit="1" customWidth="1"/>
    <col min="4702" max="4702" width="14.5703125" style="191" bestFit="1" customWidth="1"/>
    <col min="4703" max="4703" width="14.42578125" style="191" bestFit="1" customWidth="1"/>
    <col min="4704" max="4704" width="12.85546875" style="191" bestFit="1" customWidth="1"/>
    <col min="4705" max="4705" width="8.140625" style="191" bestFit="1" customWidth="1"/>
    <col min="4706" max="4706" width="7.7109375" style="191" bestFit="1" customWidth="1"/>
    <col min="4707" max="4707" width="18.85546875" style="191" bestFit="1" customWidth="1"/>
    <col min="4708" max="4708" width="13.7109375" style="191" bestFit="1" customWidth="1"/>
    <col min="4709" max="4709" width="7.5703125" style="191" bestFit="1" customWidth="1"/>
    <col min="4710" max="4710" width="10.85546875" style="191" bestFit="1" customWidth="1"/>
    <col min="4711" max="4711" width="12.85546875" style="191" bestFit="1" customWidth="1"/>
    <col min="4712" max="4716" width="14" style="191" customWidth="1"/>
    <col min="4717" max="4717" width="15.42578125" style="191" bestFit="1" customWidth="1"/>
    <col min="4718" max="4718" width="13.140625" style="191" bestFit="1" customWidth="1"/>
    <col min="4719" max="4719" width="18.140625" style="191" bestFit="1" customWidth="1"/>
    <col min="4720" max="4721" width="15.42578125" style="191" bestFit="1" customWidth="1"/>
    <col min="4722" max="4722" width="9.7109375" style="191" bestFit="1" customWidth="1"/>
    <col min="4723" max="4723" width="15.85546875" style="191" bestFit="1" customWidth="1"/>
    <col min="4724" max="4728" width="14" style="191" customWidth="1"/>
    <col min="4729" max="4729" width="18.42578125" style="191" bestFit="1" customWidth="1"/>
    <col min="4730" max="4730" width="15.140625" style="191" bestFit="1" customWidth="1"/>
    <col min="4731" max="4731" width="15" style="191" bestFit="1" customWidth="1"/>
    <col min="4732" max="4732" width="18.140625" style="191" bestFit="1" customWidth="1"/>
    <col min="4733" max="4733" width="8.7109375" style="191" bestFit="1" customWidth="1"/>
    <col min="4734" max="4734" width="18.42578125" style="191" bestFit="1" customWidth="1"/>
    <col min="4735" max="4735" width="14.85546875" style="191" bestFit="1" customWidth="1"/>
    <col min="4736" max="4736" width="14.140625" style="191" bestFit="1" customWidth="1"/>
    <col min="4737" max="4737" width="13.42578125" style="191" bestFit="1" customWidth="1"/>
    <col min="4738" max="4738" width="8.7109375" style="191" bestFit="1" customWidth="1"/>
    <col min="4739" max="4739" width="15.42578125" style="191" bestFit="1" customWidth="1"/>
    <col min="4740" max="4740" width="12.85546875" style="191" bestFit="1" customWidth="1"/>
    <col min="4741" max="4741" width="15.42578125" style="191" bestFit="1" customWidth="1"/>
    <col min="4742" max="4742" width="19.85546875" style="191" bestFit="1" customWidth="1"/>
    <col min="4743" max="4743" width="10.5703125" style="191" bestFit="1" customWidth="1"/>
    <col min="4744" max="4744" width="19.85546875" style="191" bestFit="1" customWidth="1"/>
    <col min="4745" max="4745" width="15.28515625" style="191" bestFit="1" customWidth="1"/>
    <col min="4746" max="4746" width="15.85546875" style="191" bestFit="1" customWidth="1"/>
    <col min="4747" max="4747" width="17.42578125" style="191" bestFit="1" customWidth="1"/>
    <col min="4748" max="4748" width="14" style="191" bestFit="1" customWidth="1"/>
    <col min="4749" max="4755" width="14" style="191" customWidth="1"/>
    <col min="4756" max="4756" width="17.42578125" style="191" bestFit="1" customWidth="1"/>
    <col min="4757" max="4757" width="14" style="191" customWidth="1"/>
    <col min="4758" max="4758" width="9.5703125" style="191" bestFit="1" customWidth="1"/>
    <col min="4759" max="4759" width="15.5703125" style="191" bestFit="1" customWidth="1"/>
    <col min="4760" max="4760" width="16.5703125" style="191" bestFit="1" customWidth="1"/>
    <col min="4761" max="4761" width="14" style="191" customWidth="1"/>
    <col min="4762" max="4762" width="9.5703125" style="191" bestFit="1" customWidth="1"/>
    <col min="4763" max="4763" width="15.5703125" style="191" bestFit="1" customWidth="1"/>
    <col min="4764" max="4764" width="16.5703125" style="191" bestFit="1" customWidth="1"/>
    <col min="4765" max="4765" width="14.140625" style="191" bestFit="1" customWidth="1"/>
    <col min="4766" max="4770" width="14" style="191" customWidth="1"/>
    <col min="4771" max="4886" width="9.140625" style="191"/>
    <col min="4887" max="4887" width="0.140625" style="191" customWidth="1"/>
    <col min="4888" max="4888" width="17.140625" style="191" customWidth="1"/>
    <col min="4889" max="4889" width="8.5703125" style="191" customWidth="1"/>
    <col min="4890" max="4898" width="0" style="191" hidden="1" customWidth="1"/>
    <col min="4899" max="4899" width="5.140625" style="191" customWidth="1"/>
    <col min="4900" max="4900" width="0" style="191" hidden="1" customWidth="1"/>
    <col min="4901" max="4901" width="4.140625" style="191" customWidth="1"/>
    <col min="4902" max="4902" width="1.7109375" style="191" customWidth="1"/>
    <col min="4903" max="4903" width="5.28515625" style="191" customWidth="1"/>
    <col min="4904" max="4904" width="12.85546875" style="191" bestFit="1" customWidth="1"/>
    <col min="4905" max="4905" width="12.85546875" style="191" customWidth="1"/>
    <col min="4906" max="4909" width="9.140625" style="191"/>
    <col min="4910" max="4910" width="27.85546875" style="191" bestFit="1" customWidth="1"/>
    <col min="4911" max="4912" width="12.7109375" style="191" customWidth="1"/>
    <col min="4913" max="4913" width="9.140625" style="191"/>
    <col min="4914" max="4914" width="17" style="191" bestFit="1" customWidth="1"/>
    <col min="4915" max="4916" width="9.140625" style="191"/>
    <col min="4917" max="4917" width="14" style="191" bestFit="1" customWidth="1"/>
    <col min="4918" max="4918" width="12" style="191" bestFit="1" customWidth="1"/>
    <col min="4919" max="4919" width="12.5703125" style="191" bestFit="1" customWidth="1"/>
    <col min="4920" max="4920" width="14" style="191" bestFit="1" customWidth="1"/>
    <col min="4921" max="4921" width="19" style="191" bestFit="1" customWidth="1"/>
    <col min="4922" max="4922" width="15.7109375" style="191" bestFit="1" customWidth="1"/>
    <col min="4923" max="4923" width="22.28515625" style="191" bestFit="1" customWidth="1"/>
    <col min="4924" max="4924" width="10.5703125" style="191" bestFit="1" customWidth="1"/>
    <col min="4925" max="4925" width="14" style="191" bestFit="1" customWidth="1"/>
    <col min="4926" max="4926" width="14.85546875" style="191" bestFit="1" customWidth="1"/>
    <col min="4927" max="4927" width="11.28515625" style="191" bestFit="1" customWidth="1"/>
    <col min="4928" max="4928" width="14.7109375" style="191" bestFit="1" customWidth="1"/>
    <col min="4929" max="4929" width="11.5703125" style="191" bestFit="1" customWidth="1"/>
    <col min="4930" max="4930" width="18" style="191" bestFit="1" customWidth="1"/>
    <col min="4931" max="4931" width="7.42578125" style="191" bestFit="1" customWidth="1"/>
    <col min="4932" max="4932" width="14" style="191" bestFit="1" customWidth="1"/>
    <col min="4933" max="4937" width="14" style="191" customWidth="1"/>
    <col min="4938" max="4938" width="13.7109375" style="191" bestFit="1" customWidth="1"/>
    <col min="4939" max="4939" width="12.140625" style="191" bestFit="1" customWidth="1"/>
    <col min="4940" max="4940" width="10.5703125" style="191" bestFit="1" customWidth="1"/>
    <col min="4941" max="4942" width="18" style="191" bestFit="1" customWidth="1"/>
    <col min="4943" max="4943" width="8.7109375" style="191" bestFit="1" customWidth="1"/>
    <col min="4944" max="4944" width="14.5703125" style="191" bestFit="1" customWidth="1"/>
    <col min="4945" max="4945" width="15.140625" style="191" bestFit="1" customWidth="1"/>
    <col min="4946" max="4946" width="14.42578125" style="191" bestFit="1" customWidth="1"/>
    <col min="4947" max="4947" width="18.140625" style="191" bestFit="1" customWidth="1"/>
    <col min="4948" max="4948" width="11.28515625" style="191" bestFit="1" customWidth="1"/>
    <col min="4949" max="4949" width="18.85546875" style="191" bestFit="1" customWidth="1"/>
    <col min="4950" max="4950" width="15.5703125" style="191" bestFit="1" customWidth="1"/>
    <col min="4951" max="4951" width="20.42578125" style="191" bestFit="1" customWidth="1"/>
    <col min="4952" max="4952" width="11.42578125" style="191" bestFit="1" customWidth="1"/>
    <col min="4953" max="4953" width="19.42578125" style="191" bestFit="1" customWidth="1"/>
    <col min="4954" max="4954" width="16.28515625" style="191" bestFit="1" customWidth="1"/>
    <col min="4955" max="4955" width="11.42578125" style="191" bestFit="1" customWidth="1"/>
    <col min="4956" max="4956" width="7.5703125" style="191" bestFit="1" customWidth="1"/>
    <col min="4957" max="4957" width="18" style="191" bestFit="1" customWidth="1"/>
    <col min="4958" max="4958" width="14.5703125" style="191" bestFit="1" customWidth="1"/>
    <col min="4959" max="4959" width="14.42578125" style="191" bestFit="1" customWidth="1"/>
    <col min="4960" max="4960" width="12.85546875" style="191" bestFit="1" customWidth="1"/>
    <col min="4961" max="4961" width="8.140625" style="191" bestFit="1" customWidth="1"/>
    <col min="4962" max="4962" width="7.7109375" style="191" bestFit="1" customWidth="1"/>
    <col min="4963" max="4963" width="18.85546875" style="191" bestFit="1" customWidth="1"/>
    <col min="4964" max="4964" width="13.7109375" style="191" bestFit="1" customWidth="1"/>
    <col min="4965" max="4965" width="7.5703125" style="191" bestFit="1" customWidth="1"/>
    <col min="4966" max="4966" width="10.85546875" style="191" bestFit="1" customWidth="1"/>
    <col min="4967" max="4967" width="12.85546875" style="191" bestFit="1" customWidth="1"/>
    <col min="4968" max="4972" width="14" style="191" customWidth="1"/>
    <col min="4973" max="4973" width="15.42578125" style="191" bestFit="1" customWidth="1"/>
    <col min="4974" max="4974" width="13.140625" style="191" bestFit="1" customWidth="1"/>
    <col min="4975" max="4975" width="18.140625" style="191" bestFit="1" customWidth="1"/>
    <col min="4976" max="4977" width="15.42578125" style="191" bestFit="1" customWidth="1"/>
    <col min="4978" max="4978" width="9.7109375" style="191" bestFit="1" customWidth="1"/>
    <col min="4979" max="4979" width="15.85546875" style="191" bestFit="1" customWidth="1"/>
    <col min="4980" max="4984" width="14" style="191" customWidth="1"/>
    <col min="4985" max="4985" width="18.42578125" style="191" bestFit="1" customWidth="1"/>
    <col min="4986" max="4986" width="15.140625" style="191" bestFit="1" customWidth="1"/>
    <col min="4987" max="4987" width="15" style="191" bestFit="1" customWidth="1"/>
    <col min="4988" max="4988" width="18.140625" style="191" bestFit="1" customWidth="1"/>
    <col min="4989" max="4989" width="8.7109375" style="191" bestFit="1" customWidth="1"/>
    <col min="4990" max="4990" width="18.42578125" style="191" bestFit="1" customWidth="1"/>
    <col min="4991" max="4991" width="14.85546875" style="191" bestFit="1" customWidth="1"/>
    <col min="4992" max="4992" width="14.140625" style="191" bestFit="1" customWidth="1"/>
    <col min="4993" max="4993" width="13.42578125" style="191" bestFit="1" customWidth="1"/>
    <col min="4994" max="4994" width="8.7109375" style="191" bestFit="1" customWidth="1"/>
    <col min="4995" max="4995" width="15.42578125" style="191" bestFit="1" customWidth="1"/>
    <col min="4996" max="4996" width="12.85546875" style="191" bestFit="1" customWidth="1"/>
    <col min="4997" max="4997" width="15.42578125" style="191" bestFit="1" customWidth="1"/>
    <col min="4998" max="4998" width="19.85546875" style="191" bestFit="1" customWidth="1"/>
    <col min="4999" max="4999" width="10.5703125" style="191" bestFit="1" customWidth="1"/>
    <col min="5000" max="5000" width="19.85546875" style="191" bestFit="1" customWidth="1"/>
    <col min="5001" max="5001" width="15.28515625" style="191" bestFit="1" customWidth="1"/>
    <col min="5002" max="5002" width="15.85546875" style="191" bestFit="1" customWidth="1"/>
    <col min="5003" max="5003" width="17.42578125" style="191" bestFit="1" customWidth="1"/>
    <col min="5004" max="5004" width="14" style="191" bestFit="1" customWidth="1"/>
    <col min="5005" max="5011" width="14" style="191" customWidth="1"/>
    <col min="5012" max="5012" width="17.42578125" style="191" bestFit="1" customWidth="1"/>
    <col min="5013" max="5013" width="14" style="191" customWidth="1"/>
    <col min="5014" max="5014" width="9.5703125" style="191" bestFit="1" customWidth="1"/>
    <col min="5015" max="5015" width="15.5703125" style="191" bestFit="1" customWidth="1"/>
    <col min="5016" max="5016" width="16.5703125" style="191" bestFit="1" customWidth="1"/>
    <col min="5017" max="5017" width="14" style="191" customWidth="1"/>
    <col min="5018" max="5018" width="9.5703125" style="191" bestFit="1" customWidth="1"/>
    <col min="5019" max="5019" width="15.5703125" style="191" bestFit="1" customWidth="1"/>
    <col min="5020" max="5020" width="16.5703125" style="191" bestFit="1" customWidth="1"/>
    <col min="5021" max="5021" width="14.140625" style="191" bestFit="1" customWidth="1"/>
    <col min="5022" max="5026" width="14" style="191" customWidth="1"/>
    <col min="5027" max="5142" width="9.140625" style="191"/>
    <col min="5143" max="5143" width="0.140625" style="191" customWidth="1"/>
    <col min="5144" max="5144" width="17.140625" style="191" customWidth="1"/>
    <col min="5145" max="5145" width="8.5703125" style="191" customWidth="1"/>
    <col min="5146" max="5154" width="0" style="191" hidden="1" customWidth="1"/>
    <col min="5155" max="5155" width="5.140625" style="191" customWidth="1"/>
    <col min="5156" max="5156" width="0" style="191" hidden="1" customWidth="1"/>
    <col min="5157" max="5157" width="4.140625" style="191" customWidth="1"/>
    <col min="5158" max="5158" width="1.7109375" style="191" customWidth="1"/>
    <col min="5159" max="5159" width="5.28515625" style="191" customWidth="1"/>
    <col min="5160" max="5160" width="12.85546875" style="191" bestFit="1" customWidth="1"/>
    <col min="5161" max="5161" width="12.85546875" style="191" customWidth="1"/>
    <col min="5162" max="5165" width="9.140625" style="191"/>
    <col min="5166" max="5166" width="27.85546875" style="191" bestFit="1" customWidth="1"/>
    <col min="5167" max="5168" width="12.7109375" style="191" customWidth="1"/>
    <col min="5169" max="5169" width="9.140625" style="191"/>
    <col min="5170" max="5170" width="17" style="191" bestFit="1" customWidth="1"/>
    <col min="5171" max="5172" width="9.140625" style="191"/>
    <col min="5173" max="5173" width="14" style="191" bestFit="1" customWidth="1"/>
    <col min="5174" max="5174" width="12" style="191" bestFit="1" customWidth="1"/>
    <col min="5175" max="5175" width="12.5703125" style="191" bestFit="1" customWidth="1"/>
    <col min="5176" max="5176" width="14" style="191" bestFit="1" customWidth="1"/>
    <col min="5177" max="5177" width="19" style="191" bestFit="1" customWidth="1"/>
    <col min="5178" max="5178" width="15.7109375" style="191" bestFit="1" customWidth="1"/>
    <col min="5179" max="5179" width="22.28515625" style="191" bestFit="1" customWidth="1"/>
    <col min="5180" max="5180" width="10.5703125" style="191" bestFit="1" customWidth="1"/>
    <col min="5181" max="5181" width="14" style="191" bestFit="1" customWidth="1"/>
    <col min="5182" max="5182" width="14.85546875" style="191" bestFit="1" customWidth="1"/>
    <col min="5183" max="5183" width="11.28515625" style="191" bestFit="1" customWidth="1"/>
    <col min="5184" max="5184" width="14.7109375" style="191" bestFit="1" customWidth="1"/>
    <col min="5185" max="5185" width="11.5703125" style="191" bestFit="1" customWidth="1"/>
    <col min="5186" max="5186" width="18" style="191" bestFit="1" customWidth="1"/>
    <col min="5187" max="5187" width="7.42578125" style="191" bestFit="1" customWidth="1"/>
    <col min="5188" max="5188" width="14" style="191" bestFit="1" customWidth="1"/>
    <col min="5189" max="5193" width="14" style="191" customWidth="1"/>
    <col min="5194" max="5194" width="13.7109375" style="191" bestFit="1" customWidth="1"/>
    <col min="5195" max="5195" width="12.140625" style="191" bestFit="1" customWidth="1"/>
    <col min="5196" max="5196" width="10.5703125" style="191" bestFit="1" customWidth="1"/>
    <col min="5197" max="5198" width="18" style="191" bestFit="1" customWidth="1"/>
    <col min="5199" max="5199" width="8.7109375" style="191" bestFit="1" customWidth="1"/>
    <col min="5200" max="5200" width="14.5703125" style="191" bestFit="1" customWidth="1"/>
    <col min="5201" max="5201" width="15.140625" style="191" bestFit="1" customWidth="1"/>
    <col min="5202" max="5202" width="14.42578125" style="191" bestFit="1" customWidth="1"/>
    <col min="5203" max="5203" width="18.140625" style="191" bestFit="1" customWidth="1"/>
    <col min="5204" max="5204" width="11.28515625" style="191" bestFit="1" customWidth="1"/>
    <col min="5205" max="5205" width="18.85546875" style="191" bestFit="1" customWidth="1"/>
    <col min="5206" max="5206" width="15.5703125" style="191" bestFit="1" customWidth="1"/>
    <col min="5207" max="5207" width="20.42578125" style="191" bestFit="1" customWidth="1"/>
    <col min="5208" max="5208" width="11.42578125" style="191" bestFit="1" customWidth="1"/>
    <col min="5209" max="5209" width="19.42578125" style="191" bestFit="1" customWidth="1"/>
    <col min="5210" max="5210" width="16.28515625" style="191" bestFit="1" customWidth="1"/>
    <col min="5211" max="5211" width="11.42578125" style="191" bestFit="1" customWidth="1"/>
    <col min="5212" max="5212" width="7.5703125" style="191" bestFit="1" customWidth="1"/>
    <col min="5213" max="5213" width="18" style="191" bestFit="1" customWidth="1"/>
    <col min="5214" max="5214" width="14.5703125" style="191" bestFit="1" customWidth="1"/>
    <col min="5215" max="5215" width="14.42578125" style="191" bestFit="1" customWidth="1"/>
    <col min="5216" max="5216" width="12.85546875" style="191" bestFit="1" customWidth="1"/>
    <col min="5217" max="5217" width="8.140625" style="191" bestFit="1" customWidth="1"/>
    <col min="5218" max="5218" width="7.7109375" style="191" bestFit="1" customWidth="1"/>
    <col min="5219" max="5219" width="18.85546875" style="191" bestFit="1" customWidth="1"/>
    <col min="5220" max="5220" width="13.7109375" style="191" bestFit="1" customWidth="1"/>
    <col min="5221" max="5221" width="7.5703125" style="191" bestFit="1" customWidth="1"/>
    <col min="5222" max="5222" width="10.85546875" style="191" bestFit="1" customWidth="1"/>
    <col min="5223" max="5223" width="12.85546875" style="191" bestFit="1" customWidth="1"/>
    <col min="5224" max="5228" width="14" style="191" customWidth="1"/>
    <col min="5229" max="5229" width="15.42578125" style="191" bestFit="1" customWidth="1"/>
    <col min="5230" max="5230" width="13.140625" style="191" bestFit="1" customWidth="1"/>
    <col min="5231" max="5231" width="18.140625" style="191" bestFit="1" customWidth="1"/>
    <col min="5232" max="5233" width="15.42578125" style="191" bestFit="1" customWidth="1"/>
    <col min="5234" max="5234" width="9.7109375" style="191" bestFit="1" customWidth="1"/>
    <col min="5235" max="5235" width="15.85546875" style="191" bestFit="1" customWidth="1"/>
    <col min="5236" max="5240" width="14" style="191" customWidth="1"/>
    <col min="5241" max="5241" width="18.42578125" style="191" bestFit="1" customWidth="1"/>
    <col min="5242" max="5242" width="15.140625" style="191" bestFit="1" customWidth="1"/>
    <col min="5243" max="5243" width="15" style="191" bestFit="1" customWidth="1"/>
    <col min="5244" max="5244" width="18.140625" style="191" bestFit="1" customWidth="1"/>
    <col min="5245" max="5245" width="8.7109375" style="191" bestFit="1" customWidth="1"/>
    <col min="5246" max="5246" width="18.42578125" style="191" bestFit="1" customWidth="1"/>
    <col min="5247" max="5247" width="14.85546875" style="191" bestFit="1" customWidth="1"/>
    <col min="5248" max="5248" width="14.140625" style="191" bestFit="1" customWidth="1"/>
    <col min="5249" max="5249" width="13.42578125" style="191" bestFit="1" customWidth="1"/>
    <col min="5250" max="5250" width="8.7109375" style="191" bestFit="1" customWidth="1"/>
    <col min="5251" max="5251" width="15.42578125" style="191" bestFit="1" customWidth="1"/>
    <col min="5252" max="5252" width="12.85546875" style="191" bestFit="1" customWidth="1"/>
    <col min="5253" max="5253" width="15.42578125" style="191" bestFit="1" customWidth="1"/>
    <col min="5254" max="5254" width="19.85546875" style="191" bestFit="1" customWidth="1"/>
    <col min="5255" max="5255" width="10.5703125" style="191" bestFit="1" customWidth="1"/>
    <col min="5256" max="5256" width="19.85546875" style="191" bestFit="1" customWidth="1"/>
    <col min="5257" max="5257" width="15.28515625" style="191" bestFit="1" customWidth="1"/>
    <col min="5258" max="5258" width="15.85546875" style="191" bestFit="1" customWidth="1"/>
    <col min="5259" max="5259" width="17.42578125" style="191" bestFit="1" customWidth="1"/>
    <col min="5260" max="5260" width="14" style="191" bestFit="1" customWidth="1"/>
    <col min="5261" max="5267" width="14" style="191" customWidth="1"/>
    <col min="5268" max="5268" width="17.42578125" style="191" bestFit="1" customWidth="1"/>
    <col min="5269" max="5269" width="14" style="191" customWidth="1"/>
    <col min="5270" max="5270" width="9.5703125" style="191" bestFit="1" customWidth="1"/>
    <col min="5271" max="5271" width="15.5703125" style="191" bestFit="1" customWidth="1"/>
    <col min="5272" max="5272" width="16.5703125" style="191" bestFit="1" customWidth="1"/>
    <col min="5273" max="5273" width="14" style="191" customWidth="1"/>
    <col min="5274" max="5274" width="9.5703125" style="191" bestFit="1" customWidth="1"/>
    <col min="5275" max="5275" width="15.5703125" style="191" bestFit="1" customWidth="1"/>
    <col min="5276" max="5276" width="16.5703125" style="191" bestFit="1" customWidth="1"/>
    <col min="5277" max="5277" width="14.140625" style="191" bestFit="1" customWidth="1"/>
    <col min="5278" max="5282" width="14" style="191" customWidth="1"/>
    <col min="5283" max="5398" width="9.140625" style="191"/>
    <col min="5399" max="5399" width="0.140625" style="191" customWidth="1"/>
    <col min="5400" max="5400" width="17.140625" style="191" customWidth="1"/>
    <col min="5401" max="5401" width="8.5703125" style="191" customWidth="1"/>
    <col min="5402" max="5410" width="0" style="191" hidden="1" customWidth="1"/>
    <col min="5411" max="5411" width="5.140625" style="191" customWidth="1"/>
    <col min="5412" max="5412" width="0" style="191" hidden="1" customWidth="1"/>
    <col min="5413" max="5413" width="4.140625" style="191" customWidth="1"/>
    <col min="5414" max="5414" width="1.7109375" style="191" customWidth="1"/>
    <col min="5415" max="5415" width="5.28515625" style="191" customWidth="1"/>
    <col min="5416" max="5416" width="12.85546875" style="191" bestFit="1" customWidth="1"/>
    <col min="5417" max="5417" width="12.85546875" style="191" customWidth="1"/>
    <col min="5418" max="5421" width="9.140625" style="191"/>
    <col min="5422" max="5422" width="27.85546875" style="191" bestFit="1" customWidth="1"/>
    <col min="5423" max="5424" width="12.7109375" style="191" customWidth="1"/>
    <col min="5425" max="5425" width="9.140625" style="191"/>
    <col min="5426" max="5426" width="17" style="191" bestFit="1" customWidth="1"/>
    <col min="5427" max="5428" width="9.140625" style="191"/>
    <col min="5429" max="5429" width="14" style="191" bestFit="1" customWidth="1"/>
    <col min="5430" max="5430" width="12" style="191" bestFit="1" customWidth="1"/>
    <col min="5431" max="5431" width="12.5703125" style="191" bestFit="1" customWidth="1"/>
    <col min="5432" max="5432" width="14" style="191" bestFit="1" customWidth="1"/>
    <col min="5433" max="5433" width="19" style="191" bestFit="1" customWidth="1"/>
    <col min="5434" max="5434" width="15.7109375" style="191" bestFit="1" customWidth="1"/>
    <col min="5435" max="5435" width="22.28515625" style="191" bestFit="1" customWidth="1"/>
    <col min="5436" max="5436" width="10.5703125" style="191" bestFit="1" customWidth="1"/>
    <col min="5437" max="5437" width="14" style="191" bestFit="1" customWidth="1"/>
    <col min="5438" max="5438" width="14.85546875" style="191" bestFit="1" customWidth="1"/>
    <col min="5439" max="5439" width="11.28515625" style="191" bestFit="1" customWidth="1"/>
    <col min="5440" max="5440" width="14.7109375" style="191" bestFit="1" customWidth="1"/>
    <col min="5441" max="5441" width="11.5703125" style="191" bestFit="1" customWidth="1"/>
    <col min="5442" max="5442" width="18" style="191" bestFit="1" customWidth="1"/>
    <col min="5443" max="5443" width="7.42578125" style="191" bestFit="1" customWidth="1"/>
    <col min="5444" max="5444" width="14" style="191" bestFit="1" customWidth="1"/>
    <col min="5445" max="5449" width="14" style="191" customWidth="1"/>
    <col min="5450" max="5450" width="13.7109375" style="191" bestFit="1" customWidth="1"/>
    <col min="5451" max="5451" width="12.140625" style="191" bestFit="1" customWidth="1"/>
    <col min="5452" max="5452" width="10.5703125" style="191" bestFit="1" customWidth="1"/>
    <col min="5453" max="5454" width="18" style="191" bestFit="1" customWidth="1"/>
    <col min="5455" max="5455" width="8.7109375" style="191" bestFit="1" customWidth="1"/>
    <col min="5456" max="5456" width="14.5703125" style="191" bestFit="1" customWidth="1"/>
    <col min="5457" max="5457" width="15.140625" style="191" bestFit="1" customWidth="1"/>
    <col min="5458" max="5458" width="14.42578125" style="191" bestFit="1" customWidth="1"/>
    <col min="5459" max="5459" width="18.140625" style="191" bestFit="1" customWidth="1"/>
    <col min="5460" max="5460" width="11.28515625" style="191" bestFit="1" customWidth="1"/>
    <col min="5461" max="5461" width="18.85546875" style="191" bestFit="1" customWidth="1"/>
    <col min="5462" max="5462" width="15.5703125" style="191" bestFit="1" customWidth="1"/>
    <col min="5463" max="5463" width="20.42578125" style="191" bestFit="1" customWidth="1"/>
    <col min="5464" max="5464" width="11.42578125" style="191" bestFit="1" customWidth="1"/>
    <col min="5465" max="5465" width="19.42578125" style="191" bestFit="1" customWidth="1"/>
    <col min="5466" max="5466" width="16.28515625" style="191" bestFit="1" customWidth="1"/>
    <col min="5467" max="5467" width="11.42578125" style="191" bestFit="1" customWidth="1"/>
    <col min="5468" max="5468" width="7.5703125" style="191" bestFit="1" customWidth="1"/>
    <col min="5469" max="5469" width="18" style="191" bestFit="1" customWidth="1"/>
    <col min="5470" max="5470" width="14.5703125" style="191" bestFit="1" customWidth="1"/>
    <col min="5471" max="5471" width="14.42578125" style="191" bestFit="1" customWidth="1"/>
    <col min="5472" max="5472" width="12.85546875" style="191" bestFit="1" customWidth="1"/>
    <col min="5473" max="5473" width="8.140625" style="191" bestFit="1" customWidth="1"/>
    <col min="5474" max="5474" width="7.7109375" style="191" bestFit="1" customWidth="1"/>
    <col min="5475" max="5475" width="18.85546875" style="191" bestFit="1" customWidth="1"/>
    <col min="5476" max="5476" width="13.7109375" style="191" bestFit="1" customWidth="1"/>
    <col min="5477" max="5477" width="7.5703125" style="191" bestFit="1" customWidth="1"/>
    <col min="5478" max="5478" width="10.85546875" style="191" bestFit="1" customWidth="1"/>
    <col min="5479" max="5479" width="12.85546875" style="191" bestFit="1" customWidth="1"/>
    <col min="5480" max="5484" width="14" style="191" customWidth="1"/>
    <col min="5485" max="5485" width="15.42578125" style="191" bestFit="1" customWidth="1"/>
    <col min="5486" max="5486" width="13.140625" style="191" bestFit="1" customWidth="1"/>
    <col min="5487" max="5487" width="18.140625" style="191" bestFit="1" customWidth="1"/>
    <col min="5488" max="5489" width="15.42578125" style="191" bestFit="1" customWidth="1"/>
    <col min="5490" max="5490" width="9.7109375" style="191" bestFit="1" customWidth="1"/>
    <col min="5491" max="5491" width="15.85546875" style="191" bestFit="1" customWidth="1"/>
    <col min="5492" max="5496" width="14" style="191" customWidth="1"/>
    <col min="5497" max="5497" width="18.42578125" style="191" bestFit="1" customWidth="1"/>
    <col min="5498" max="5498" width="15.140625" style="191" bestFit="1" customWidth="1"/>
    <col min="5499" max="5499" width="15" style="191" bestFit="1" customWidth="1"/>
    <col min="5500" max="5500" width="18.140625" style="191" bestFit="1" customWidth="1"/>
    <col min="5501" max="5501" width="8.7109375" style="191" bestFit="1" customWidth="1"/>
    <col min="5502" max="5502" width="18.42578125" style="191" bestFit="1" customWidth="1"/>
    <col min="5503" max="5503" width="14.85546875" style="191" bestFit="1" customWidth="1"/>
    <col min="5504" max="5504" width="14.140625" style="191" bestFit="1" customWidth="1"/>
    <col min="5505" max="5505" width="13.42578125" style="191" bestFit="1" customWidth="1"/>
    <col min="5506" max="5506" width="8.7109375" style="191" bestFit="1" customWidth="1"/>
    <col min="5507" max="5507" width="15.42578125" style="191" bestFit="1" customWidth="1"/>
    <col min="5508" max="5508" width="12.85546875" style="191" bestFit="1" customWidth="1"/>
    <col min="5509" max="5509" width="15.42578125" style="191" bestFit="1" customWidth="1"/>
    <col min="5510" max="5510" width="19.85546875" style="191" bestFit="1" customWidth="1"/>
    <col min="5511" max="5511" width="10.5703125" style="191" bestFit="1" customWidth="1"/>
    <col min="5512" max="5512" width="19.85546875" style="191" bestFit="1" customWidth="1"/>
    <col min="5513" max="5513" width="15.28515625" style="191" bestFit="1" customWidth="1"/>
    <col min="5514" max="5514" width="15.85546875" style="191" bestFit="1" customWidth="1"/>
    <col min="5515" max="5515" width="17.42578125" style="191" bestFit="1" customWidth="1"/>
    <col min="5516" max="5516" width="14" style="191" bestFit="1" customWidth="1"/>
    <col min="5517" max="5523" width="14" style="191" customWidth="1"/>
    <col min="5524" max="5524" width="17.42578125" style="191" bestFit="1" customWidth="1"/>
    <col min="5525" max="5525" width="14" style="191" customWidth="1"/>
    <col min="5526" max="5526" width="9.5703125" style="191" bestFit="1" customWidth="1"/>
    <col min="5527" max="5527" width="15.5703125" style="191" bestFit="1" customWidth="1"/>
    <col min="5528" max="5528" width="16.5703125" style="191" bestFit="1" customWidth="1"/>
    <col min="5529" max="5529" width="14" style="191" customWidth="1"/>
    <col min="5530" max="5530" width="9.5703125" style="191" bestFit="1" customWidth="1"/>
    <col min="5531" max="5531" width="15.5703125" style="191" bestFit="1" customWidth="1"/>
    <col min="5532" max="5532" width="16.5703125" style="191" bestFit="1" customWidth="1"/>
    <col min="5533" max="5533" width="14.140625" style="191" bestFit="1" customWidth="1"/>
    <col min="5534" max="5538" width="14" style="191" customWidth="1"/>
    <col min="5539" max="5654" width="9.140625" style="191"/>
    <col min="5655" max="5655" width="0.140625" style="191" customWidth="1"/>
    <col min="5656" max="5656" width="17.140625" style="191" customWidth="1"/>
    <col min="5657" max="5657" width="8.5703125" style="191" customWidth="1"/>
    <col min="5658" max="5666" width="0" style="191" hidden="1" customWidth="1"/>
    <col min="5667" max="5667" width="5.140625" style="191" customWidth="1"/>
    <col min="5668" max="5668" width="0" style="191" hidden="1" customWidth="1"/>
    <col min="5669" max="5669" width="4.140625" style="191" customWidth="1"/>
    <col min="5670" max="5670" width="1.7109375" style="191" customWidth="1"/>
    <col min="5671" max="5671" width="5.28515625" style="191" customWidth="1"/>
    <col min="5672" max="5672" width="12.85546875" style="191" bestFit="1" customWidth="1"/>
    <col min="5673" max="5673" width="12.85546875" style="191" customWidth="1"/>
    <col min="5674" max="5677" width="9.140625" style="191"/>
    <col min="5678" max="5678" width="27.85546875" style="191" bestFit="1" customWidth="1"/>
    <col min="5679" max="5680" width="12.7109375" style="191" customWidth="1"/>
    <col min="5681" max="5681" width="9.140625" style="191"/>
    <col min="5682" max="5682" width="17" style="191" bestFit="1" customWidth="1"/>
    <col min="5683" max="5684" width="9.140625" style="191"/>
    <col min="5685" max="5685" width="14" style="191" bestFit="1" customWidth="1"/>
    <col min="5686" max="5686" width="12" style="191" bestFit="1" customWidth="1"/>
    <col min="5687" max="5687" width="12.5703125" style="191" bestFit="1" customWidth="1"/>
    <col min="5688" max="5688" width="14" style="191" bestFit="1" customWidth="1"/>
    <col min="5689" max="5689" width="19" style="191" bestFit="1" customWidth="1"/>
    <col min="5690" max="5690" width="15.7109375" style="191" bestFit="1" customWidth="1"/>
    <col min="5691" max="5691" width="22.28515625" style="191" bestFit="1" customWidth="1"/>
    <col min="5692" max="5692" width="10.5703125" style="191" bestFit="1" customWidth="1"/>
    <col min="5693" max="5693" width="14" style="191" bestFit="1" customWidth="1"/>
    <col min="5694" max="5694" width="14.85546875" style="191" bestFit="1" customWidth="1"/>
    <col min="5695" max="5695" width="11.28515625" style="191" bestFit="1" customWidth="1"/>
    <col min="5696" max="5696" width="14.7109375" style="191" bestFit="1" customWidth="1"/>
    <col min="5697" max="5697" width="11.5703125" style="191" bestFit="1" customWidth="1"/>
    <col min="5698" max="5698" width="18" style="191" bestFit="1" customWidth="1"/>
    <col min="5699" max="5699" width="7.42578125" style="191" bestFit="1" customWidth="1"/>
    <col min="5700" max="5700" width="14" style="191" bestFit="1" customWidth="1"/>
    <col min="5701" max="5705" width="14" style="191" customWidth="1"/>
    <col min="5706" max="5706" width="13.7109375" style="191" bestFit="1" customWidth="1"/>
    <col min="5707" max="5707" width="12.140625" style="191" bestFit="1" customWidth="1"/>
    <col min="5708" max="5708" width="10.5703125" style="191" bestFit="1" customWidth="1"/>
    <col min="5709" max="5710" width="18" style="191" bestFit="1" customWidth="1"/>
    <col min="5711" max="5711" width="8.7109375" style="191" bestFit="1" customWidth="1"/>
    <col min="5712" max="5712" width="14.5703125" style="191" bestFit="1" customWidth="1"/>
    <col min="5713" max="5713" width="15.140625" style="191" bestFit="1" customWidth="1"/>
    <col min="5714" max="5714" width="14.42578125" style="191" bestFit="1" customWidth="1"/>
    <col min="5715" max="5715" width="18.140625" style="191" bestFit="1" customWidth="1"/>
    <col min="5716" max="5716" width="11.28515625" style="191" bestFit="1" customWidth="1"/>
    <col min="5717" max="5717" width="18.85546875" style="191" bestFit="1" customWidth="1"/>
    <col min="5718" max="5718" width="15.5703125" style="191" bestFit="1" customWidth="1"/>
    <col min="5719" max="5719" width="20.42578125" style="191" bestFit="1" customWidth="1"/>
    <col min="5720" max="5720" width="11.42578125" style="191" bestFit="1" customWidth="1"/>
    <col min="5721" max="5721" width="19.42578125" style="191" bestFit="1" customWidth="1"/>
    <col min="5722" max="5722" width="16.28515625" style="191" bestFit="1" customWidth="1"/>
    <col min="5723" max="5723" width="11.42578125" style="191" bestFit="1" customWidth="1"/>
    <col min="5724" max="5724" width="7.5703125" style="191" bestFit="1" customWidth="1"/>
    <col min="5725" max="5725" width="18" style="191" bestFit="1" customWidth="1"/>
    <col min="5726" max="5726" width="14.5703125" style="191" bestFit="1" customWidth="1"/>
    <col min="5727" max="5727" width="14.42578125" style="191" bestFit="1" customWidth="1"/>
    <col min="5728" max="5728" width="12.85546875" style="191" bestFit="1" customWidth="1"/>
    <col min="5729" max="5729" width="8.140625" style="191" bestFit="1" customWidth="1"/>
    <col min="5730" max="5730" width="7.7109375" style="191" bestFit="1" customWidth="1"/>
    <col min="5731" max="5731" width="18.85546875" style="191" bestFit="1" customWidth="1"/>
    <col min="5732" max="5732" width="13.7109375" style="191" bestFit="1" customWidth="1"/>
    <col min="5733" max="5733" width="7.5703125" style="191" bestFit="1" customWidth="1"/>
    <col min="5734" max="5734" width="10.85546875" style="191" bestFit="1" customWidth="1"/>
    <col min="5735" max="5735" width="12.85546875" style="191" bestFit="1" customWidth="1"/>
    <col min="5736" max="5740" width="14" style="191" customWidth="1"/>
    <col min="5741" max="5741" width="15.42578125" style="191" bestFit="1" customWidth="1"/>
    <col min="5742" max="5742" width="13.140625" style="191" bestFit="1" customWidth="1"/>
    <col min="5743" max="5743" width="18.140625" style="191" bestFit="1" customWidth="1"/>
    <col min="5744" max="5745" width="15.42578125" style="191" bestFit="1" customWidth="1"/>
    <col min="5746" max="5746" width="9.7109375" style="191" bestFit="1" customWidth="1"/>
    <col min="5747" max="5747" width="15.85546875" style="191" bestFit="1" customWidth="1"/>
    <col min="5748" max="5752" width="14" style="191" customWidth="1"/>
    <col min="5753" max="5753" width="18.42578125" style="191" bestFit="1" customWidth="1"/>
    <col min="5754" max="5754" width="15.140625" style="191" bestFit="1" customWidth="1"/>
    <col min="5755" max="5755" width="15" style="191" bestFit="1" customWidth="1"/>
    <col min="5756" max="5756" width="18.140625" style="191" bestFit="1" customWidth="1"/>
    <col min="5757" max="5757" width="8.7109375" style="191" bestFit="1" customWidth="1"/>
    <col min="5758" max="5758" width="18.42578125" style="191" bestFit="1" customWidth="1"/>
    <col min="5759" max="5759" width="14.85546875" style="191" bestFit="1" customWidth="1"/>
    <col min="5760" max="5760" width="14.140625" style="191" bestFit="1" customWidth="1"/>
    <col min="5761" max="5761" width="13.42578125" style="191" bestFit="1" customWidth="1"/>
    <col min="5762" max="5762" width="8.7109375" style="191" bestFit="1" customWidth="1"/>
    <col min="5763" max="5763" width="15.42578125" style="191" bestFit="1" customWidth="1"/>
    <col min="5764" max="5764" width="12.85546875" style="191" bestFit="1" customWidth="1"/>
    <col min="5765" max="5765" width="15.42578125" style="191" bestFit="1" customWidth="1"/>
    <col min="5766" max="5766" width="19.85546875" style="191" bestFit="1" customWidth="1"/>
    <col min="5767" max="5767" width="10.5703125" style="191" bestFit="1" customWidth="1"/>
    <col min="5768" max="5768" width="19.85546875" style="191" bestFit="1" customWidth="1"/>
    <col min="5769" max="5769" width="15.28515625" style="191" bestFit="1" customWidth="1"/>
    <col min="5770" max="5770" width="15.85546875" style="191" bestFit="1" customWidth="1"/>
    <col min="5771" max="5771" width="17.42578125" style="191" bestFit="1" customWidth="1"/>
    <col min="5772" max="5772" width="14" style="191" bestFit="1" customWidth="1"/>
    <col min="5773" max="5779" width="14" style="191" customWidth="1"/>
    <col min="5780" max="5780" width="17.42578125" style="191" bestFit="1" customWidth="1"/>
    <col min="5781" max="5781" width="14" style="191" customWidth="1"/>
    <col min="5782" max="5782" width="9.5703125" style="191" bestFit="1" customWidth="1"/>
    <col min="5783" max="5783" width="15.5703125" style="191" bestFit="1" customWidth="1"/>
    <col min="5784" max="5784" width="16.5703125" style="191" bestFit="1" customWidth="1"/>
    <col min="5785" max="5785" width="14" style="191" customWidth="1"/>
    <col min="5786" max="5786" width="9.5703125" style="191" bestFit="1" customWidth="1"/>
    <col min="5787" max="5787" width="15.5703125" style="191" bestFit="1" customWidth="1"/>
    <col min="5788" max="5788" width="16.5703125" style="191" bestFit="1" customWidth="1"/>
    <col min="5789" max="5789" width="14.140625" style="191" bestFit="1" customWidth="1"/>
    <col min="5790" max="5794" width="14" style="191" customWidth="1"/>
    <col min="5795" max="5910" width="9.140625" style="191"/>
    <col min="5911" max="5911" width="0.140625" style="191" customWidth="1"/>
    <col min="5912" max="5912" width="17.140625" style="191" customWidth="1"/>
    <col min="5913" max="5913" width="8.5703125" style="191" customWidth="1"/>
    <col min="5914" max="5922" width="0" style="191" hidden="1" customWidth="1"/>
    <col min="5923" max="5923" width="5.140625" style="191" customWidth="1"/>
    <col min="5924" max="5924" width="0" style="191" hidden="1" customWidth="1"/>
    <col min="5925" max="5925" width="4.140625" style="191" customWidth="1"/>
    <col min="5926" max="5926" width="1.7109375" style="191" customWidth="1"/>
    <col min="5927" max="5927" width="5.28515625" style="191" customWidth="1"/>
    <col min="5928" max="5928" width="12.85546875" style="191" bestFit="1" customWidth="1"/>
    <col min="5929" max="5929" width="12.85546875" style="191" customWidth="1"/>
    <col min="5930" max="5933" width="9.140625" style="191"/>
    <col min="5934" max="5934" width="27.85546875" style="191" bestFit="1" customWidth="1"/>
    <col min="5935" max="5936" width="12.7109375" style="191" customWidth="1"/>
    <col min="5937" max="5937" width="9.140625" style="191"/>
    <col min="5938" max="5938" width="17" style="191" bestFit="1" customWidth="1"/>
    <col min="5939" max="5940" width="9.140625" style="191"/>
    <col min="5941" max="5941" width="14" style="191" bestFit="1" customWidth="1"/>
    <col min="5942" max="5942" width="12" style="191" bestFit="1" customWidth="1"/>
    <col min="5943" max="5943" width="12.5703125" style="191" bestFit="1" customWidth="1"/>
    <col min="5944" max="5944" width="14" style="191" bestFit="1" customWidth="1"/>
    <col min="5945" max="5945" width="19" style="191" bestFit="1" customWidth="1"/>
    <col min="5946" max="5946" width="15.7109375" style="191" bestFit="1" customWidth="1"/>
    <col min="5947" max="5947" width="22.28515625" style="191" bestFit="1" customWidth="1"/>
    <col min="5948" max="5948" width="10.5703125" style="191" bestFit="1" customWidth="1"/>
    <col min="5949" max="5949" width="14" style="191" bestFit="1" customWidth="1"/>
    <col min="5950" max="5950" width="14.85546875" style="191" bestFit="1" customWidth="1"/>
    <col min="5951" max="5951" width="11.28515625" style="191" bestFit="1" customWidth="1"/>
    <col min="5952" max="5952" width="14.7109375" style="191" bestFit="1" customWidth="1"/>
    <col min="5953" max="5953" width="11.5703125" style="191" bestFit="1" customWidth="1"/>
    <col min="5954" max="5954" width="18" style="191" bestFit="1" customWidth="1"/>
    <col min="5955" max="5955" width="7.42578125" style="191" bestFit="1" customWidth="1"/>
    <col min="5956" max="5956" width="14" style="191" bestFit="1" customWidth="1"/>
    <col min="5957" max="5961" width="14" style="191" customWidth="1"/>
    <col min="5962" max="5962" width="13.7109375" style="191" bestFit="1" customWidth="1"/>
    <col min="5963" max="5963" width="12.140625" style="191" bestFit="1" customWidth="1"/>
    <col min="5964" max="5964" width="10.5703125" style="191" bestFit="1" customWidth="1"/>
    <col min="5965" max="5966" width="18" style="191" bestFit="1" customWidth="1"/>
    <col min="5967" max="5967" width="8.7109375" style="191" bestFit="1" customWidth="1"/>
    <col min="5968" max="5968" width="14.5703125" style="191" bestFit="1" customWidth="1"/>
    <col min="5969" max="5969" width="15.140625" style="191" bestFit="1" customWidth="1"/>
    <col min="5970" max="5970" width="14.42578125" style="191" bestFit="1" customWidth="1"/>
    <col min="5971" max="5971" width="18.140625" style="191" bestFit="1" customWidth="1"/>
    <col min="5972" max="5972" width="11.28515625" style="191" bestFit="1" customWidth="1"/>
    <col min="5973" max="5973" width="18.85546875" style="191" bestFit="1" customWidth="1"/>
    <col min="5974" max="5974" width="15.5703125" style="191" bestFit="1" customWidth="1"/>
    <col min="5975" max="5975" width="20.42578125" style="191" bestFit="1" customWidth="1"/>
    <col min="5976" max="5976" width="11.42578125" style="191" bestFit="1" customWidth="1"/>
    <col min="5977" max="5977" width="19.42578125" style="191" bestFit="1" customWidth="1"/>
    <col min="5978" max="5978" width="16.28515625" style="191" bestFit="1" customWidth="1"/>
    <col min="5979" max="5979" width="11.42578125" style="191" bestFit="1" customWidth="1"/>
    <col min="5980" max="5980" width="7.5703125" style="191" bestFit="1" customWidth="1"/>
    <col min="5981" max="5981" width="18" style="191" bestFit="1" customWidth="1"/>
    <col min="5982" max="5982" width="14.5703125" style="191" bestFit="1" customWidth="1"/>
    <col min="5983" max="5983" width="14.42578125" style="191" bestFit="1" customWidth="1"/>
    <col min="5984" max="5984" width="12.85546875" style="191" bestFit="1" customWidth="1"/>
    <col min="5985" max="5985" width="8.140625" style="191" bestFit="1" customWidth="1"/>
    <col min="5986" max="5986" width="7.7109375" style="191" bestFit="1" customWidth="1"/>
    <col min="5987" max="5987" width="18.85546875" style="191" bestFit="1" customWidth="1"/>
    <col min="5988" max="5988" width="13.7109375" style="191" bestFit="1" customWidth="1"/>
    <col min="5989" max="5989" width="7.5703125" style="191" bestFit="1" customWidth="1"/>
    <col min="5990" max="5990" width="10.85546875" style="191" bestFit="1" customWidth="1"/>
    <col min="5991" max="5991" width="12.85546875" style="191" bestFit="1" customWidth="1"/>
    <col min="5992" max="5996" width="14" style="191" customWidth="1"/>
    <col min="5997" max="5997" width="15.42578125" style="191" bestFit="1" customWidth="1"/>
    <col min="5998" max="5998" width="13.140625" style="191" bestFit="1" customWidth="1"/>
    <col min="5999" max="5999" width="18.140625" style="191" bestFit="1" customWidth="1"/>
    <col min="6000" max="6001" width="15.42578125" style="191" bestFit="1" customWidth="1"/>
    <col min="6002" max="6002" width="9.7109375" style="191" bestFit="1" customWidth="1"/>
    <col min="6003" max="6003" width="15.85546875" style="191" bestFit="1" customWidth="1"/>
    <col min="6004" max="6008" width="14" style="191" customWidth="1"/>
    <col min="6009" max="6009" width="18.42578125" style="191" bestFit="1" customWidth="1"/>
    <col min="6010" max="6010" width="15.140625" style="191" bestFit="1" customWidth="1"/>
    <col min="6011" max="6011" width="15" style="191" bestFit="1" customWidth="1"/>
    <col min="6012" max="6012" width="18.140625" style="191" bestFit="1" customWidth="1"/>
    <col min="6013" max="6013" width="8.7109375" style="191" bestFit="1" customWidth="1"/>
    <col min="6014" max="6014" width="18.42578125" style="191" bestFit="1" customWidth="1"/>
    <col min="6015" max="6015" width="14.85546875" style="191" bestFit="1" customWidth="1"/>
    <col min="6016" max="6016" width="14.140625" style="191" bestFit="1" customWidth="1"/>
    <col min="6017" max="6017" width="13.42578125" style="191" bestFit="1" customWidth="1"/>
    <col min="6018" max="6018" width="8.7109375" style="191" bestFit="1" customWidth="1"/>
    <col min="6019" max="6019" width="15.42578125" style="191" bestFit="1" customWidth="1"/>
    <col min="6020" max="6020" width="12.85546875" style="191" bestFit="1" customWidth="1"/>
    <col min="6021" max="6021" width="15.42578125" style="191" bestFit="1" customWidth="1"/>
    <col min="6022" max="6022" width="19.85546875" style="191" bestFit="1" customWidth="1"/>
    <col min="6023" max="6023" width="10.5703125" style="191" bestFit="1" customWidth="1"/>
    <col min="6024" max="6024" width="19.85546875" style="191" bestFit="1" customWidth="1"/>
    <col min="6025" max="6025" width="15.28515625" style="191" bestFit="1" customWidth="1"/>
    <col min="6026" max="6026" width="15.85546875" style="191" bestFit="1" customWidth="1"/>
    <col min="6027" max="6027" width="17.42578125" style="191" bestFit="1" customWidth="1"/>
    <col min="6028" max="6028" width="14" style="191" bestFit="1" customWidth="1"/>
    <col min="6029" max="6035" width="14" style="191" customWidth="1"/>
    <col min="6036" max="6036" width="17.42578125" style="191" bestFit="1" customWidth="1"/>
    <col min="6037" max="6037" width="14" style="191" customWidth="1"/>
    <col min="6038" max="6038" width="9.5703125" style="191" bestFit="1" customWidth="1"/>
    <col min="6039" max="6039" width="15.5703125" style="191" bestFit="1" customWidth="1"/>
    <col min="6040" max="6040" width="16.5703125" style="191" bestFit="1" customWidth="1"/>
    <col min="6041" max="6041" width="14" style="191" customWidth="1"/>
    <col min="6042" max="6042" width="9.5703125" style="191" bestFit="1" customWidth="1"/>
    <col min="6043" max="6043" width="15.5703125" style="191" bestFit="1" customWidth="1"/>
    <col min="6044" max="6044" width="16.5703125" style="191" bestFit="1" customWidth="1"/>
    <col min="6045" max="6045" width="14.140625" style="191" bestFit="1" customWidth="1"/>
    <col min="6046" max="6050" width="14" style="191" customWidth="1"/>
    <col min="6051" max="6166" width="9.140625" style="191"/>
    <col min="6167" max="6167" width="0.140625" style="191" customWidth="1"/>
    <col min="6168" max="6168" width="17.140625" style="191" customWidth="1"/>
    <col min="6169" max="6169" width="8.5703125" style="191" customWidth="1"/>
    <col min="6170" max="6178" width="0" style="191" hidden="1" customWidth="1"/>
    <col min="6179" max="6179" width="5.140625" style="191" customWidth="1"/>
    <col min="6180" max="6180" width="0" style="191" hidden="1" customWidth="1"/>
    <col min="6181" max="6181" width="4.140625" style="191" customWidth="1"/>
    <col min="6182" max="6182" width="1.7109375" style="191" customWidth="1"/>
    <col min="6183" max="6183" width="5.28515625" style="191" customWidth="1"/>
    <col min="6184" max="6184" width="12.85546875" style="191" bestFit="1" customWidth="1"/>
    <col min="6185" max="6185" width="12.85546875" style="191" customWidth="1"/>
    <col min="6186" max="6189" width="9.140625" style="191"/>
    <col min="6190" max="6190" width="27.85546875" style="191" bestFit="1" customWidth="1"/>
    <col min="6191" max="6192" width="12.7109375" style="191" customWidth="1"/>
    <col min="6193" max="6193" width="9.140625" style="191"/>
    <col min="6194" max="6194" width="17" style="191" bestFit="1" customWidth="1"/>
    <col min="6195" max="6196" width="9.140625" style="191"/>
    <col min="6197" max="6197" width="14" style="191" bestFit="1" customWidth="1"/>
    <col min="6198" max="6198" width="12" style="191" bestFit="1" customWidth="1"/>
    <col min="6199" max="6199" width="12.5703125" style="191" bestFit="1" customWidth="1"/>
    <col min="6200" max="6200" width="14" style="191" bestFit="1" customWidth="1"/>
    <col min="6201" max="6201" width="19" style="191" bestFit="1" customWidth="1"/>
    <col min="6202" max="6202" width="15.7109375" style="191" bestFit="1" customWidth="1"/>
    <col min="6203" max="6203" width="22.28515625" style="191" bestFit="1" customWidth="1"/>
    <col min="6204" max="6204" width="10.5703125" style="191" bestFit="1" customWidth="1"/>
    <col min="6205" max="6205" width="14" style="191" bestFit="1" customWidth="1"/>
    <col min="6206" max="6206" width="14.85546875" style="191" bestFit="1" customWidth="1"/>
    <col min="6207" max="6207" width="11.28515625" style="191" bestFit="1" customWidth="1"/>
    <col min="6208" max="6208" width="14.7109375" style="191" bestFit="1" customWidth="1"/>
    <col min="6209" max="6209" width="11.5703125" style="191" bestFit="1" customWidth="1"/>
    <col min="6210" max="6210" width="18" style="191" bestFit="1" customWidth="1"/>
    <col min="6211" max="6211" width="7.42578125" style="191" bestFit="1" customWidth="1"/>
    <col min="6212" max="6212" width="14" style="191" bestFit="1" customWidth="1"/>
    <col min="6213" max="6217" width="14" style="191" customWidth="1"/>
    <col min="6218" max="6218" width="13.7109375" style="191" bestFit="1" customWidth="1"/>
    <col min="6219" max="6219" width="12.140625" style="191" bestFit="1" customWidth="1"/>
    <col min="6220" max="6220" width="10.5703125" style="191" bestFit="1" customWidth="1"/>
    <col min="6221" max="6222" width="18" style="191" bestFit="1" customWidth="1"/>
    <col min="6223" max="6223" width="8.7109375" style="191" bestFit="1" customWidth="1"/>
    <col min="6224" max="6224" width="14.5703125" style="191" bestFit="1" customWidth="1"/>
    <col min="6225" max="6225" width="15.140625" style="191" bestFit="1" customWidth="1"/>
    <col min="6226" max="6226" width="14.42578125" style="191" bestFit="1" customWidth="1"/>
    <col min="6227" max="6227" width="18.140625" style="191" bestFit="1" customWidth="1"/>
    <col min="6228" max="6228" width="11.28515625" style="191" bestFit="1" customWidth="1"/>
    <col min="6229" max="6229" width="18.85546875" style="191" bestFit="1" customWidth="1"/>
    <col min="6230" max="6230" width="15.5703125" style="191" bestFit="1" customWidth="1"/>
    <col min="6231" max="6231" width="20.42578125" style="191" bestFit="1" customWidth="1"/>
    <col min="6232" max="6232" width="11.42578125" style="191" bestFit="1" customWidth="1"/>
    <col min="6233" max="6233" width="19.42578125" style="191" bestFit="1" customWidth="1"/>
    <col min="6234" max="6234" width="16.28515625" style="191" bestFit="1" customWidth="1"/>
    <col min="6235" max="6235" width="11.42578125" style="191" bestFit="1" customWidth="1"/>
    <col min="6236" max="6236" width="7.5703125" style="191" bestFit="1" customWidth="1"/>
    <col min="6237" max="6237" width="18" style="191" bestFit="1" customWidth="1"/>
    <col min="6238" max="6238" width="14.5703125" style="191" bestFit="1" customWidth="1"/>
    <col min="6239" max="6239" width="14.42578125" style="191" bestFit="1" customWidth="1"/>
    <col min="6240" max="6240" width="12.85546875" style="191" bestFit="1" customWidth="1"/>
    <col min="6241" max="6241" width="8.140625" style="191" bestFit="1" customWidth="1"/>
    <col min="6242" max="6242" width="7.7109375" style="191" bestFit="1" customWidth="1"/>
    <col min="6243" max="6243" width="18.85546875" style="191" bestFit="1" customWidth="1"/>
    <col min="6244" max="6244" width="13.7109375" style="191" bestFit="1" customWidth="1"/>
    <col min="6245" max="6245" width="7.5703125" style="191" bestFit="1" customWidth="1"/>
    <col min="6246" max="6246" width="10.85546875" style="191" bestFit="1" customWidth="1"/>
    <col min="6247" max="6247" width="12.85546875" style="191" bestFit="1" customWidth="1"/>
    <col min="6248" max="6252" width="14" style="191" customWidth="1"/>
    <col min="6253" max="6253" width="15.42578125" style="191" bestFit="1" customWidth="1"/>
    <col min="6254" max="6254" width="13.140625" style="191" bestFit="1" customWidth="1"/>
    <col min="6255" max="6255" width="18.140625" style="191" bestFit="1" customWidth="1"/>
    <col min="6256" max="6257" width="15.42578125" style="191" bestFit="1" customWidth="1"/>
    <col min="6258" max="6258" width="9.7109375" style="191" bestFit="1" customWidth="1"/>
    <col min="6259" max="6259" width="15.85546875" style="191" bestFit="1" customWidth="1"/>
    <col min="6260" max="6264" width="14" style="191" customWidth="1"/>
    <col min="6265" max="6265" width="18.42578125" style="191" bestFit="1" customWidth="1"/>
    <col min="6266" max="6266" width="15.140625" style="191" bestFit="1" customWidth="1"/>
    <col min="6267" max="6267" width="15" style="191" bestFit="1" customWidth="1"/>
    <col min="6268" max="6268" width="18.140625" style="191" bestFit="1" customWidth="1"/>
    <col min="6269" max="6269" width="8.7109375" style="191" bestFit="1" customWidth="1"/>
    <col min="6270" max="6270" width="18.42578125" style="191" bestFit="1" customWidth="1"/>
    <col min="6271" max="6271" width="14.85546875" style="191" bestFit="1" customWidth="1"/>
    <col min="6272" max="6272" width="14.140625" style="191" bestFit="1" customWidth="1"/>
    <col min="6273" max="6273" width="13.42578125" style="191" bestFit="1" customWidth="1"/>
    <col min="6274" max="6274" width="8.7109375" style="191" bestFit="1" customWidth="1"/>
    <col min="6275" max="6275" width="15.42578125" style="191" bestFit="1" customWidth="1"/>
    <col min="6276" max="6276" width="12.85546875" style="191" bestFit="1" customWidth="1"/>
    <col min="6277" max="6277" width="15.42578125" style="191" bestFit="1" customWidth="1"/>
    <col min="6278" max="6278" width="19.85546875" style="191" bestFit="1" customWidth="1"/>
    <col min="6279" max="6279" width="10.5703125" style="191" bestFit="1" customWidth="1"/>
    <col min="6280" max="6280" width="19.85546875" style="191" bestFit="1" customWidth="1"/>
    <col min="6281" max="6281" width="15.28515625" style="191" bestFit="1" customWidth="1"/>
    <col min="6282" max="6282" width="15.85546875" style="191" bestFit="1" customWidth="1"/>
    <col min="6283" max="6283" width="17.42578125" style="191" bestFit="1" customWidth="1"/>
    <col min="6284" max="6284" width="14" style="191" bestFit="1" customWidth="1"/>
    <col min="6285" max="6291" width="14" style="191" customWidth="1"/>
    <col min="6292" max="6292" width="17.42578125" style="191" bestFit="1" customWidth="1"/>
    <col min="6293" max="6293" width="14" style="191" customWidth="1"/>
    <col min="6294" max="6294" width="9.5703125" style="191" bestFit="1" customWidth="1"/>
    <col min="6295" max="6295" width="15.5703125" style="191" bestFit="1" customWidth="1"/>
    <col min="6296" max="6296" width="16.5703125" style="191" bestFit="1" customWidth="1"/>
    <col min="6297" max="6297" width="14" style="191" customWidth="1"/>
    <col min="6298" max="6298" width="9.5703125" style="191" bestFit="1" customWidth="1"/>
    <col min="6299" max="6299" width="15.5703125" style="191" bestFit="1" customWidth="1"/>
    <col min="6300" max="6300" width="16.5703125" style="191" bestFit="1" customWidth="1"/>
    <col min="6301" max="6301" width="14.140625" style="191" bestFit="1" customWidth="1"/>
    <col min="6302" max="6306" width="14" style="191" customWidth="1"/>
    <col min="6307" max="6422" width="9.140625" style="191"/>
    <col min="6423" max="6423" width="0.140625" style="191" customWidth="1"/>
    <col min="6424" max="6424" width="17.140625" style="191" customWidth="1"/>
    <col min="6425" max="6425" width="8.5703125" style="191" customWidth="1"/>
    <col min="6426" max="6434" width="0" style="191" hidden="1" customWidth="1"/>
    <col min="6435" max="6435" width="5.140625" style="191" customWidth="1"/>
    <col min="6436" max="6436" width="0" style="191" hidden="1" customWidth="1"/>
    <col min="6437" max="6437" width="4.140625" style="191" customWidth="1"/>
    <col min="6438" max="6438" width="1.7109375" style="191" customWidth="1"/>
    <col min="6439" max="6439" width="5.28515625" style="191" customWidth="1"/>
    <col min="6440" max="6440" width="12.85546875" style="191" bestFit="1" customWidth="1"/>
    <col min="6441" max="6441" width="12.85546875" style="191" customWidth="1"/>
    <col min="6442" max="6445" width="9.140625" style="191"/>
    <col min="6446" max="6446" width="27.85546875" style="191" bestFit="1" customWidth="1"/>
    <col min="6447" max="6448" width="12.7109375" style="191" customWidth="1"/>
    <col min="6449" max="6449" width="9.140625" style="191"/>
    <col min="6450" max="6450" width="17" style="191" bestFit="1" customWidth="1"/>
    <col min="6451" max="6452" width="9.140625" style="191"/>
    <col min="6453" max="6453" width="14" style="191" bestFit="1" customWidth="1"/>
    <col min="6454" max="6454" width="12" style="191" bestFit="1" customWidth="1"/>
    <col min="6455" max="6455" width="12.5703125" style="191" bestFit="1" customWidth="1"/>
    <col min="6456" max="6456" width="14" style="191" bestFit="1" customWidth="1"/>
    <col min="6457" max="6457" width="19" style="191" bestFit="1" customWidth="1"/>
    <col min="6458" max="6458" width="15.7109375" style="191" bestFit="1" customWidth="1"/>
    <col min="6459" max="6459" width="22.28515625" style="191" bestFit="1" customWidth="1"/>
    <col min="6460" max="6460" width="10.5703125" style="191" bestFit="1" customWidth="1"/>
    <col min="6461" max="6461" width="14" style="191" bestFit="1" customWidth="1"/>
    <col min="6462" max="6462" width="14.85546875" style="191" bestFit="1" customWidth="1"/>
    <col min="6463" max="6463" width="11.28515625" style="191" bestFit="1" customWidth="1"/>
    <col min="6464" max="6464" width="14.7109375" style="191" bestFit="1" customWidth="1"/>
    <col min="6465" max="6465" width="11.5703125" style="191" bestFit="1" customWidth="1"/>
    <col min="6466" max="6466" width="18" style="191" bestFit="1" customWidth="1"/>
    <col min="6467" max="6467" width="7.42578125" style="191" bestFit="1" customWidth="1"/>
    <col min="6468" max="6468" width="14" style="191" bestFit="1" customWidth="1"/>
    <col min="6469" max="6473" width="14" style="191" customWidth="1"/>
    <col min="6474" max="6474" width="13.7109375" style="191" bestFit="1" customWidth="1"/>
    <col min="6475" max="6475" width="12.140625" style="191" bestFit="1" customWidth="1"/>
    <col min="6476" max="6476" width="10.5703125" style="191" bestFit="1" customWidth="1"/>
    <col min="6477" max="6478" width="18" style="191" bestFit="1" customWidth="1"/>
    <col min="6479" max="6479" width="8.7109375" style="191" bestFit="1" customWidth="1"/>
    <col min="6480" max="6480" width="14.5703125" style="191" bestFit="1" customWidth="1"/>
    <col min="6481" max="6481" width="15.140625" style="191" bestFit="1" customWidth="1"/>
    <col min="6482" max="6482" width="14.42578125" style="191" bestFit="1" customWidth="1"/>
    <col min="6483" max="6483" width="18.140625" style="191" bestFit="1" customWidth="1"/>
    <col min="6484" max="6484" width="11.28515625" style="191" bestFit="1" customWidth="1"/>
    <col min="6485" max="6485" width="18.85546875" style="191" bestFit="1" customWidth="1"/>
    <col min="6486" max="6486" width="15.5703125" style="191" bestFit="1" customWidth="1"/>
    <col min="6487" max="6487" width="20.42578125" style="191" bestFit="1" customWidth="1"/>
    <col min="6488" max="6488" width="11.42578125" style="191" bestFit="1" customWidth="1"/>
    <col min="6489" max="6489" width="19.42578125" style="191" bestFit="1" customWidth="1"/>
    <col min="6490" max="6490" width="16.28515625" style="191" bestFit="1" customWidth="1"/>
    <col min="6491" max="6491" width="11.42578125" style="191" bestFit="1" customWidth="1"/>
    <col min="6492" max="6492" width="7.5703125" style="191" bestFit="1" customWidth="1"/>
    <col min="6493" max="6493" width="18" style="191" bestFit="1" customWidth="1"/>
    <col min="6494" max="6494" width="14.5703125" style="191" bestFit="1" customWidth="1"/>
    <col min="6495" max="6495" width="14.42578125" style="191" bestFit="1" customWidth="1"/>
    <col min="6496" max="6496" width="12.85546875" style="191" bestFit="1" customWidth="1"/>
    <col min="6497" max="6497" width="8.140625" style="191" bestFit="1" customWidth="1"/>
    <col min="6498" max="6498" width="7.7109375" style="191" bestFit="1" customWidth="1"/>
    <col min="6499" max="6499" width="18.85546875" style="191" bestFit="1" customWidth="1"/>
    <col min="6500" max="6500" width="13.7109375" style="191" bestFit="1" customWidth="1"/>
    <col min="6501" max="6501" width="7.5703125" style="191" bestFit="1" customWidth="1"/>
    <col min="6502" max="6502" width="10.85546875" style="191" bestFit="1" customWidth="1"/>
    <col min="6503" max="6503" width="12.85546875" style="191" bestFit="1" customWidth="1"/>
    <col min="6504" max="6508" width="14" style="191" customWidth="1"/>
    <col min="6509" max="6509" width="15.42578125" style="191" bestFit="1" customWidth="1"/>
    <col min="6510" max="6510" width="13.140625" style="191" bestFit="1" customWidth="1"/>
    <col min="6511" max="6511" width="18.140625" style="191" bestFit="1" customWidth="1"/>
    <col min="6512" max="6513" width="15.42578125" style="191" bestFit="1" customWidth="1"/>
    <col min="6514" max="6514" width="9.7109375" style="191" bestFit="1" customWidth="1"/>
    <col min="6515" max="6515" width="15.85546875" style="191" bestFit="1" customWidth="1"/>
    <col min="6516" max="6520" width="14" style="191" customWidth="1"/>
    <col min="6521" max="6521" width="18.42578125" style="191" bestFit="1" customWidth="1"/>
    <col min="6522" max="6522" width="15.140625" style="191" bestFit="1" customWidth="1"/>
    <col min="6523" max="6523" width="15" style="191" bestFit="1" customWidth="1"/>
    <col min="6524" max="6524" width="18.140625" style="191" bestFit="1" customWidth="1"/>
    <col min="6525" max="6525" width="8.7109375" style="191" bestFit="1" customWidth="1"/>
    <col min="6526" max="6526" width="18.42578125" style="191" bestFit="1" customWidth="1"/>
    <col min="6527" max="6527" width="14.85546875" style="191" bestFit="1" customWidth="1"/>
    <col min="6528" max="6528" width="14.140625" style="191" bestFit="1" customWidth="1"/>
    <col min="6529" max="6529" width="13.42578125" style="191" bestFit="1" customWidth="1"/>
    <col min="6530" max="6530" width="8.7109375" style="191" bestFit="1" customWidth="1"/>
    <col min="6531" max="6531" width="15.42578125" style="191" bestFit="1" customWidth="1"/>
    <col min="6532" max="6532" width="12.85546875" style="191" bestFit="1" customWidth="1"/>
    <col min="6533" max="6533" width="15.42578125" style="191" bestFit="1" customWidth="1"/>
    <col min="6534" max="6534" width="19.85546875" style="191" bestFit="1" customWidth="1"/>
    <col min="6535" max="6535" width="10.5703125" style="191" bestFit="1" customWidth="1"/>
    <col min="6536" max="6536" width="19.85546875" style="191" bestFit="1" customWidth="1"/>
    <col min="6537" max="6537" width="15.28515625" style="191" bestFit="1" customWidth="1"/>
    <col min="6538" max="6538" width="15.85546875" style="191" bestFit="1" customWidth="1"/>
    <col min="6539" max="6539" width="17.42578125" style="191" bestFit="1" customWidth="1"/>
    <col min="6540" max="6540" width="14" style="191" bestFit="1" customWidth="1"/>
    <col min="6541" max="6547" width="14" style="191" customWidth="1"/>
    <col min="6548" max="6548" width="17.42578125" style="191" bestFit="1" customWidth="1"/>
    <col min="6549" max="6549" width="14" style="191" customWidth="1"/>
    <col min="6550" max="6550" width="9.5703125" style="191" bestFit="1" customWidth="1"/>
    <col min="6551" max="6551" width="15.5703125" style="191" bestFit="1" customWidth="1"/>
    <col min="6552" max="6552" width="16.5703125" style="191" bestFit="1" customWidth="1"/>
    <col min="6553" max="6553" width="14" style="191" customWidth="1"/>
    <col min="6554" max="6554" width="9.5703125" style="191" bestFit="1" customWidth="1"/>
    <col min="6555" max="6555" width="15.5703125" style="191" bestFit="1" customWidth="1"/>
    <col min="6556" max="6556" width="16.5703125" style="191" bestFit="1" customWidth="1"/>
    <col min="6557" max="6557" width="14.140625" style="191" bestFit="1" customWidth="1"/>
    <col min="6558" max="6562" width="14" style="191" customWidth="1"/>
    <col min="6563" max="6678" width="9.140625" style="191"/>
    <col min="6679" max="6679" width="0.140625" style="191" customWidth="1"/>
    <col min="6680" max="6680" width="17.140625" style="191" customWidth="1"/>
    <col min="6681" max="6681" width="8.5703125" style="191" customWidth="1"/>
    <col min="6682" max="6690" width="0" style="191" hidden="1" customWidth="1"/>
    <col min="6691" max="6691" width="5.140625" style="191" customWidth="1"/>
    <col min="6692" max="6692" width="0" style="191" hidden="1" customWidth="1"/>
    <col min="6693" max="6693" width="4.140625" style="191" customWidth="1"/>
    <col min="6694" max="6694" width="1.7109375" style="191" customWidth="1"/>
    <col min="6695" max="6695" width="5.28515625" style="191" customWidth="1"/>
    <col min="6696" max="6696" width="12.85546875" style="191" bestFit="1" customWidth="1"/>
    <col min="6697" max="6697" width="12.85546875" style="191" customWidth="1"/>
    <col min="6698" max="6701" width="9.140625" style="191"/>
    <col min="6702" max="6702" width="27.85546875" style="191" bestFit="1" customWidth="1"/>
    <col min="6703" max="6704" width="12.7109375" style="191" customWidth="1"/>
    <col min="6705" max="6705" width="9.140625" style="191"/>
    <col min="6706" max="6706" width="17" style="191" bestFit="1" customWidth="1"/>
    <col min="6707" max="6708" width="9.140625" style="191"/>
    <col min="6709" max="6709" width="14" style="191" bestFit="1" customWidth="1"/>
    <col min="6710" max="6710" width="12" style="191" bestFit="1" customWidth="1"/>
    <col min="6711" max="6711" width="12.5703125" style="191" bestFit="1" customWidth="1"/>
    <col min="6712" max="6712" width="14" style="191" bestFit="1" customWidth="1"/>
    <col min="6713" max="6713" width="19" style="191" bestFit="1" customWidth="1"/>
    <col min="6714" max="6714" width="15.7109375" style="191" bestFit="1" customWidth="1"/>
    <col min="6715" max="6715" width="22.28515625" style="191" bestFit="1" customWidth="1"/>
    <col min="6716" max="6716" width="10.5703125" style="191" bestFit="1" customWidth="1"/>
    <col min="6717" max="6717" width="14" style="191" bestFit="1" customWidth="1"/>
    <col min="6718" max="6718" width="14.85546875" style="191" bestFit="1" customWidth="1"/>
    <col min="6719" max="6719" width="11.28515625" style="191" bestFit="1" customWidth="1"/>
    <col min="6720" max="6720" width="14.7109375" style="191" bestFit="1" customWidth="1"/>
    <col min="6721" max="6721" width="11.5703125" style="191" bestFit="1" customWidth="1"/>
    <col min="6722" max="6722" width="18" style="191" bestFit="1" customWidth="1"/>
    <col min="6723" max="6723" width="7.42578125" style="191" bestFit="1" customWidth="1"/>
    <col min="6724" max="6724" width="14" style="191" bestFit="1" customWidth="1"/>
    <col min="6725" max="6729" width="14" style="191" customWidth="1"/>
    <col min="6730" max="6730" width="13.7109375" style="191" bestFit="1" customWidth="1"/>
    <col min="6731" max="6731" width="12.140625" style="191" bestFit="1" customWidth="1"/>
    <col min="6732" max="6732" width="10.5703125" style="191" bestFit="1" customWidth="1"/>
    <col min="6733" max="6734" width="18" style="191" bestFit="1" customWidth="1"/>
    <col min="6735" max="6735" width="8.7109375" style="191" bestFit="1" customWidth="1"/>
    <col min="6736" max="6736" width="14.5703125" style="191" bestFit="1" customWidth="1"/>
    <col min="6737" max="6737" width="15.140625" style="191" bestFit="1" customWidth="1"/>
    <col min="6738" max="6738" width="14.42578125" style="191" bestFit="1" customWidth="1"/>
    <col min="6739" max="6739" width="18.140625" style="191" bestFit="1" customWidth="1"/>
    <col min="6740" max="6740" width="11.28515625" style="191" bestFit="1" customWidth="1"/>
    <col min="6741" max="6741" width="18.85546875" style="191" bestFit="1" customWidth="1"/>
    <col min="6742" max="6742" width="15.5703125" style="191" bestFit="1" customWidth="1"/>
    <col min="6743" max="6743" width="20.42578125" style="191" bestFit="1" customWidth="1"/>
    <col min="6744" max="6744" width="11.42578125" style="191" bestFit="1" customWidth="1"/>
    <col min="6745" max="6745" width="19.42578125" style="191" bestFit="1" customWidth="1"/>
    <col min="6746" max="6746" width="16.28515625" style="191" bestFit="1" customWidth="1"/>
    <col min="6747" max="6747" width="11.42578125" style="191" bestFit="1" customWidth="1"/>
    <col min="6748" max="6748" width="7.5703125" style="191" bestFit="1" customWidth="1"/>
    <col min="6749" max="6749" width="18" style="191" bestFit="1" customWidth="1"/>
    <col min="6750" max="6750" width="14.5703125" style="191" bestFit="1" customWidth="1"/>
    <col min="6751" max="6751" width="14.42578125" style="191" bestFit="1" customWidth="1"/>
    <col min="6752" max="6752" width="12.85546875" style="191" bestFit="1" customWidth="1"/>
    <col min="6753" max="6753" width="8.140625" style="191" bestFit="1" customWidth="1"/>
    <col min="6754" max="6754" width="7.7109375" style="191" bestFit="1" customWidth="1"/>
    <col min="6755" max="6755" width="18.85546875" style="191" bestFit="1" customWidth="1"/>
    <col min="6756" max="6756" width="13.7109375" style="191" bestFit="1" customWidth="1"/>
    <col min="6757" max="6757" width="7.5703125" style="191" bestFit="1" customWidth="1"/>
    <col min="6758" max="6758" width="10.85546875" style="191" bestFit="1" customWidth="1"/>
    <col min="6759" max="6759" width="12.85546875" style="191" bestFit="1" customWidth="1"/>
    <col min="6760" max="6764" width="14" style="191" customWidth="1"/>
    <col min="6765" max="6765" width="15.42578125" style="191" bestFit="1" customWidth="1"/>
    <col min="6766" max="6766" width="13.140625" style="191" bestFit="1" customWidth="1"/>
    <col min="6767" max="6767" width="18.140625" style="191" bestFit="1" customWidth="1"/>
    <col min="6768" max="6769" width="15.42578125" style="191" bestFit="1" customWidth="1"/>
    <col min="6770" max="6770" width="9.7109375" style="191" bestFit="1" customWidth="1"/>
    <col min="6771" max="6771" width="15.85546875" style="191" bestFit="1" customWidth="1"/>
    <col min="6772" max="6776" width="14" style="191" customWidth="1"/>
    <col min="6777" max="6777" width="18.42578125" style="191" bestFit="1" customWidth="1"/>
    <col min="6778" max="6778" width="15.140625" style="191" bestFit="1" customWidth="1"/>
    <col min="6779" max="6779" width="15" style="191" bestFit="1" customWidth="1"/>
    <col min="6780" max="6780" width="18.140625" style="191" bestFit="1" customWidth="1"/>
    <col min="6781" max="6781" width="8.7109375" style="191" bestFit="1" customWidth="1"/>
    <col min="6782" max="6782" width="18.42578125" style="191" bestFit="1" customWidth="1"/>
    <col min="6783" max="6783" width="14.85546875" style="191" bestFit="1" customWidth="1"/>
    <col min="6784" max="6784" width="14.140625" style="191" bestFit="1" customWidth="1"/>
    <col min="6785" max="6785" width="13.42578125" style="191" bestFit="1" customWidth="1"/>
    <col min="6786" max="6786" width="8.7109375" style="191" bestFit="1" customWidth="1"/>
    <col min="6787" max="6787" width="15.42578125" style="191" bestFit="1" customWidth="1"/>
    <col min="6788" max="6788" width="12.85546875" style="191" bestFit="1" customWidth="1"/>
    <col min="6789" max="6789" width="15.42578125" style="191" bestFit="1" customWidth="1"/>
    <col min="6790" max="6790" width="19.85546875" style="191" bestFit="1" customWidth="1"/>
    <col min="6791" max="6791" width="10.5703125" style="191" bestFit="1" customWidth="1"/>
    <col min="6792" max="6792" width="19.85546875" style="191" bestFit="1" customWidth="1"/>
    <col min="6793" max="6793" width="15.28515625" style="191" bestFit="1" customWidth="1"/>
    <col min="6794" max="6794" width="15.85546875" style="191" bestFit="1" customWidth="1"/>
    <col min="6795" max="6795" width="17.42578125" style="191" bestFit="1" customWidth="1"/>
    <col min="6796" max="6796" width="14" style="191" bestFit="1" customWidth="1"/>
    <col min="6797" max="6803" width="14" style="191" customWidth="1"/>
    <col min="6804" max="6804" width="17.42578125" style="191" bestFit="1" customWidth="1"/>
    <col min="6805" max="6805" width="14" style="191" customWidth="1"/>
    <col min="6806" max="6806" width="9.5703125" style="191" bestFit="1" customWidth="1"/>
    <col min="6807" max="6807" width="15.5703125" style="191" bestFit="1" customWidth="1"/>
    <col min="6808" max="6808" width="16.5703125" style="191" bestFit="1" customWidth="1"/>
    <col min="6809" max="6809" width="14" style="191" customWidth="1"/>
    <col min="6810" max="6810" width="9.5703125" style="191" bestFit="1" customWidth="1"/>
    <col min="6811" max="6811" width="15.5703125" style="191" bestFit="1" customWidth="1"/>
    <col min="6812" max="6812" width="16.5703125" style="191" bestFit="1" customWidth="1"/>
    <col min="6813" max="6813" width="14.140625" style="191" bestFit="1" customWidth="1"/>
    <col min="6814" max="6818" width="14" style="191" customWidth="1"/>
    <col min="6819" max="6934" width="9.140625" style="191"/>
    <col min="6935" max="6935" width="0.140625" style="191" customWidth="1"/>
    <col min="6936" max="6936" width="17.140625" style="191" customWidth="1"/>
    <col min="6937" max="6937" width="8.5703125" style="191" customWidth="1"/>
    <col min="6938" max="6946" width="0" style="191" hidden="1" customWidth="1"/>
    <col min="6947" max="6947" width="5.140625" style="191" customWidth="1"/>
    <col min="6948" max="6948" width="0" style="191" hidden="1" customWidth="1"/>
    <col min="6949" max="6949" width="4.140625" style="191" customWidth="1"/>
    <col min="6950" max="6950" width="1.7109375" style="191" customWidth="1"/>
    <col min="6951" max="6951" width="5.28515625" style="191" customWidth="1"/>
    <col min="6952" max="6952" width="12.85546875" style="191" bestFit="1" customWidth="1"/>
    <col min="6953" max="6953" width="12.85546875" style="191" customWidth="1"/>
    <col min="6954" max="6957" width="9.140625" style="191"/>
    <col min="6958" max="6958" width="27.85546875" style="191" bestFit="1" customWidth="1"/>
    <col min="6959" max="6960" width="12.7109375" style="191" customWidth="1"/>
    <col min="6961" max="6961" width="9.140625" style="191"/>
    <col min="6962" max="6962" width="17" style="191" bestFit="1" customWidth="1"/>
    <col min="6963" max="6964" width="9.140625" style="191"/>
    <col min="6965" max="6965" width="14" style="191" bestFit="1" customWidth="1"/>
    <col min="6966" max="6966" width="12" style="191" bestFit="1" customWidth="1"/>
    <col min="6967" max="6967" width="12.5703125" style="191" bestFit="1" customWidth="1"/>
    <col min="6968" max="6968" width="14" style="191" bestFit="1" customWidth="1"/>
    <col min="6969" max="6969" width="19" style="191" bestFit="1" customWidth="1"/>
    <col min="6970" max="6970" width="15.7109375" style="191" bestFit="1" customWidth="1"/>
    <col min="6971" max="6971" width="22.28515625" style="191" bestFit="1" customWidth="1"/>
    <col min="6972" max="6972" width="10.5703125" style="191" bestFit="1" customWidth="1"/>
    <col min="6973" max="6973" width="14" style="191" bestFit="1" customWidth="1"/>
    <col min="6974" max="6974" width="14.85546875" style="191" bestFit="1" customWidth="1"/>
    <col min="6975" max="6975" width="11.28515625" style="191" bestFit="1" customWidth="1"/>
    <col min="6976" max="6976" width="14.7109375" style="191" bestFit="1" customWidth="1"/>
    <col min="6977" max="6977" width="11.5703125" style="191" bestFit="1" customWidth="1"/>
    <col min="6978" max="6978" width="18" style="191" bestFit="1" customWidth="1"/>
    <col min="6979" max="6979" width="7.42578125" style="191" bestFit="1" customWidth="1"/>
    <col min="6980" max="6980" width="14" style="191" bestFit="1" customWidth="1"/>
    <col min="6981" max="6985" width="14" style="191" customWidth="1"/>
    <col min="6986" max="6986" width="13.7109375" style="191" bestFit="1" customWidth="1"/>
    <col min="6987" max="6987" width="12.140625" style="191" bestFit="1" customWidth="1"/>
    <col min="6988" max="6988" width="10.5703125" style="191" bestFit="1" customWidth="1"/>
    <col min="6989" max="6990" width="18" style="191" bestFit="1" customWidth="1"/>
    <col min="6991" max="6991" width="8.7109375" style="191" bestFit="1" customWidth="1"/>
    <col min="6992" max="6992" width="14.5703125" style="191" bestFit="1" customWidth="1"/>
    <col min="6993" max="6993" width="15.140625" style="191" bestFit="1" customWidth="1"/>
    <col min="6994" max="6994" width="14.42578125" style="191" bestFit="1" customWidth="1"/>
    <col min="6995" max="6995" width="18.140625" style="191" bestFit="1" customWidth="1"/>
    <col min="6996" max="6996" width="11.28515625" style="191" bestFit="1" customWidth="1"/>
    <col min="6997" max="6997" width="18.85546875" style="191" bestFit="1" customWidth="1"/>
    <col min="6998" max="6998" width="15.5703125" style="191" bestFit="1" customWidth="1"/>
    <col min="6999" max="6999" width="20.42578125" style="191" bestFit="1" customWidth="1"/>
    <col min="7000" max="7000" width="11.42578125" style="191" bestFit="1" customWidth="1"/>
    <col min="7001" max="7001" width="19.42578125" style="191" bestFit="1" customWidth="1"/>
    <col min="7002" max="7002" width="16.28515625" style="191" bestFit="1" customWidth="1"/>
    <col min="7003" max="7003" width="11.42578125" style="191" bestFit="1" customWidth="1"/>
    <col min="7004" max="7004" width="7.5703125" style="191" bestFit="1" customWidth="1"/>
    <col min="7005" max="7005" width="18" style="191" bestFit="1" customWidth="1"/>
    <col min="7006" max="7006" width="14.5703125" style="191" bestFit="1" customWidth="1"/>
    <col min="7007" max="7007" width="14.42578125" style="191" bestFit="1" customWidth="1"/>
    <col min="7008" max="7008" width="12.85546875" style="191" bestFit="1" customWidth="1"/>
    <col min="7009" max="7009" width="8.140625" style="191" bestFit="1" customWidth="1"/>
    <col min="7010" max="7010" width="7.7109375" style="191" bestFit="1" customWidth="1"/>
    <col min="7011" max="7011" width="18.85546875" style="191" bestFit="1" customWidth="1"/>
    <col min="7012" max="7012" width="13.7109375" style="191" bestFit="1" customWidth="1"/>
    <col min="7013" max="7013" width="7.5703125" style="191" bestFit="1" customWidth="1"/>
    <col min="7014" max="7014" width="10.85546875" style="191" bestFit="1" customWidth="1"/>
    <col min="7015" max="7015" width="12.85546875" style="191" bestFit="1" customWidth="1"/>
    <col min="7016" max="7020" width="14" style="191" customWidth="1"/>
    <col min="7021" max="7021" width="15.42578125" style="191" bestFit="1" customWidth="1"/>
    <col min="7022" max="7022" width="13.140625" style="191" bestFit="1" customWidth="1"/>
    <col min="7023" max="7023" width="18.140625" style="191" bestFit="1" customWidth="1"/>
    <col min="7024" max="7025" width="15.42578125" style="191" bestFit="1" customWidth="1"/>
    <col min="7026" max="7026" width="9.7109375" style="191" bestFit="1" customWidth="1"/>
    <col min="7027" max="7027" width="15.85546875" style="191" bestFit="1" customWidth="1"/>
    <col min="7028" max="7032" width="14" style="191" customWidth="1"/>
    <col min="7033" max="7033" width="18.42578125" style="191" bestFit="1" customWidth="1"/>
    <col min="7034" max="7034" width="15.140625" style="191" bestFit="1" customWidth="1"/>
    <col min="7035" max="7035" width="15" style="191" bestFit="1" customWidth="1"/>
    <col min="7036" max="7036" width="18.140625" style="191" bestFit="1" customWidth="1"/>
    <col min="7037" max="7037" width="8.7109375" style="191" bestFit="1" customWidth="1"/>
    <col min="7038" max="7038" width="18.42578125" style="191" bestFit="1" customWidth="1"/>
    <col min="7039" max="7039" width="14.85546875" style="191" bestFit="1" customWidth="1"/>
    <col min="7040" max="7040" width="14.140625" style="191" bestFit="1" customWidth="1"/>
    <col min="7041" max="7041" width="13.42578125" style="191" bestFit="1" customWidth="1"/>
    <col min="7042" max="7042" width="8.7109375" style="191" bestFit="1" customWidth="1"/>
    <col min="7043" max="7043" width="15.42578125" style="191" bestFit="1" customWidth="1"/>
    <col min="7044" max="7044" width="12.85546875" style="191" bestFit="1" customWidth="1"/>
    <col min="7045" max="7045" width="15.42578125" style="191" bestFit="1" customWidth="1"/>
    <col min="7046" max="7046" width="19.85546875" style="191" bestFit="1" customWidth="1"/>
    <col min="7047" max="7047" width="10.5703125" style="191" bestFit="1" customWidth="1"/>
    <col min="7048" max="7048" width="19.85546875" style="191" bestFit="1" customWidth="1"/>
    <col min="7049" max="7049" width="15.28515625" style="191" bestFit="1" customWidth="1"/>
    <col min="7050" max="7050" width="15.85546875" style="191" bestFit="1" customWidth="1"/>
    <col min="7051" max="7051" width="17.42578125" style="191" bestFit="1" customWidth="1"/>
    <col min="7052" max="7052" width="14" style="191" bestFit="1" customWidth="1"/>
    <col min="7053" max="7059" width="14" style="191" customWidth="1"/>
    <col min="7060" max="7060" width="17.42578125" style="191" bestFit="1" customWidth="1"/>
    <col min="7061" max="7061" width="14" style="191" customWidth="1"/>
    <col min="7062" max="7062" width="9.5703125" style="191" bestFit="1" customWidth="1"/>
    <col min="7063" max="7063" width="15.5703125" style="191" bestFit="1" customWidth="1"/>
    <col min="7064" max="7064" width="16.5703125" style="191" bestFit="1" customWidth="1"/>
    <col min="7065" max="7065" width="14" style="191" customWidth="1"/>
    <col min="7066" max="7066" width="9.5703125" style="191" bestFit="1" customWidth="1"/>
    <col min="7067" max="7067" width="15.5703125" style="191" bestFit="1" customWidth="1"/>
    <col min="7068" max="7068" width="16.5703125" style="191" bestFit="1" customWidth="1"/>
    <col min="7069" max="7069" width="14.140625" style="191" bestFit="1" customWidth="1"/>
    <col min="7070" max="7074" width="14" style="191" customWidth="1"/>
    <col min="7075" max="7190" width="9.140625" style="191"/>
    <col min="7191" max="7191" width="0.140625" style="191" customWidth="1"/>
    <col min="7192" max="7192" width="17.140625" style="191" customWidth="1"/>
    <col min="7193" max="7193" width="8.5703125" style="191" customWidth="1"/>
    <col min="7194" max="7202" width="0" style="191" hidden="1" customWidth="1"/>
    <col min="7203" max="7203" width="5.140625" style="191" customWidth="1"/>
    <col min="7204" max="7204" width="0" style="191" hidden="1" customWidth="1"/>
    <col min="7205" max="7205" width="4.140625" style="191" customWidth="1"/>
    <col min="7206" max="7206" width="1.7109375" style="191" customWidth="1"/>
    <col min="7207" max="7207" width="5.28515625" style="191" customWidth="1"/>
    <col min="7208" max="7208" width="12.85546875" style="191" bestFit="1" customWidth="1"/>
    <col min="7209" max="7209" width="12.85546875" style="191" customWidth="1"/>
    <col min="7210" max="7213" width="9.140625" style="191"/>
    <col min="7214" max="7214" width="27.85546875" style="191" bestFit="1" customWidth="1"/>
    <col min="7215" max="7216" width="12.7109375" style="191" customWidth="1"/>
    <col min="7217" max="7217" width="9.140625" style="191"/>
    <col min="7218" max="7218" width="17" style="191" bestFit="1" customWidth="1"/>
    <col min="7219" max="7220" width="9.140625" style="191"/>
    <col min="7221" max="7221" width="14" style="191" bestFit="1" customWidth="1"/>
    <col min="7222" max="7222" width="12" style="191" bestFit="1" customWidth="1"/>
    <col min="7223" max="7223" width="12.5703125" style="191" bestFit="1" customWidth="1"/>
    <col min="7224" max="7224" width="14" style="191" bestFit="1" customWidth="1"/>
    <col min="7225" max="7225" width="19" style="191" bestFit="1" customWidth="1"/>
    <col min="7226" max="7226" width="15.7109375" style="191" bestFit="1" customWidth="1"/>
    <col min="7227" max="7227" width="22.28515625" style="191" bestFit="1" customWidth="1"/>
    <col min="7228" max="7228" width="10.5703125" style="191" bestFit="1" customWidth="1"/>
    <col min="7229" max="7229" width="14" style="191" bestFit="1" customWidth="1"/>
    <col min="7230" max="7230" width="14.85546875" style="191" bestFit="1" customWidth="1"/>
    <col min="7231" max="7231" width="11.28515625" style="191" bestFit="1" customWidth="1"/>
    <col min="7232" max="7232" width="14.7109375" style="191" bestFit="1" customWidth="1"/>
    <col min="7233" max="7233" width="11.5703125" style="191" bestFit="1" customWidth="1"/>
    <col min="7234" max="7234" width="18" style="191" bestFit="1" customWidth="1"/>
    <col min="7235" max="7235" width="7.42578125" style="191" bestFit="1" customWidth="1"/>
    <col min="7236" max="7236" width="14" style="191" bestFit="1" customWidth="1"/>
    <col min="7237" max="7241" width="14" style="191" customWidth="1"/>
    <col min="7242" max="7242" width="13.7109375" style="191" bestFit="1" customWidth="1"/>
    <col min="7243" max="7243" width="12.140625" style="191" bestFit="1" customWidth="1"/>
    <col min="7244" max="7244" width="10.5703125" style="191" bestFit="1" customWidth="1"/>
    <col min="7245" max="7246" width="18" style="191" bestFit="1" customWidth="1"/>
    <col min="7247" max="7247" width="8.7109375" style="191" bestFit="1" customWidth="1"/>
    <col min="7248" max="7248" width="14.5703125" style="191" bestFit="1" customWidth="1"/>
    <col min="7249" max="7249" width="15.140625" style="191" bestFit="1" customWidth="1"/>
    <col min="7250" max="7250" width="14.42578125" style="191" bestFit="1" customWidth="1"/>
    <col min="7251" max="7251" width="18.140625" style="191" bestFit="1" customWidth="1"/>
    <col min="7252" max="7252" width="11.28515625" style="191" bestFit="1" customWidth="1"/>
    <col min="7253" max="7253" width="18.85546875" style="191" bestFit="1" customWidth="1"/>
    <col min="7254" max="7254" width="15.5703125" style="191" bestFit="1" customWidth="1"/>
    <col min="7255" max="7255" width="20.42578125" style="191" bestFit="1" customWidth="1"/>
    <col min="7256" max="7256" width="11.42578125" style="191" bestFit="1" customWidth="1"/>
    <col min="7257" max="7257" width="19.42578125" style="191" bestFit="1" customWidth="1"/>
    <col min="7258" max="7258" width="16.28515625" style="191" bestFit="1" customWidth="1"/>
    <col min="7259" max="7259" width="11.42578125" style="191" bestFit="1" customWidth="1"/>
    <col min="7260" max="7260" width="7.5703125" style="191" bestFit="1" customWidth="1"/>
    <col min="7261" max="7261" width="18" style="191" bestFit="1" customWidth="1"/>
    <col min="7262" max="7262" width="14.5703125" style="191" bestFit="1" customWidth="1"/>
    <col min="7263" max="7263" width="14.42578125" style="191" bestFit="1" customWidth="1"/>
    <col min="7264" max="7264" width="12.85546875" style="191" bestFit="1" customWidth="1"/>
    <col min="7265" max="7265" width="8.140625" style="191" bestFit="1" customWidth="1"/>
    <col min="7266" max="7266" width="7.7109375" style="191" bestFit="1" customWidth="1"/>
    <col min="7267" max="7267" width="18.85546875" style="191" bestFit="1" customWidth="1"/>
    <col min="7268" max="7268" width="13.7109375" style="191" bestFit="1" customWidth="1"/>
    <col min="7269" max="7269" width="7.5703125" style="191" bestFit="1" customWidth="1"/>
    <col min="7270" max="7270" width="10.85546875" style="191" bestFit="1" customWidth="1"/>
    <col min="7271" max="7271" width="12.85546875" style="191" bestFit="1" customWidth="1"/>
    <col min="7272" max="7276" width="14" style="191" customWidth="1"/>
    <col min="7277" max="7277" width="15.42578125" style="191" bestFit="1" customWidth="1"/>
    <col min="7278" max="7278" width="13.140625" style="191" bestFit="1" customWidth="1"/>
    <col min="7279" max="7279" width="18.140625" style="191" bestFit="1" customWidth="1"/>
    <col min="7280" max="7281" width="15.42578125" style="191" bestFit="1" customWidth="1"/>
    <col min="7282" max="7282" width="9.7109375" style="191" bestFit="1" customWidth="1"/>
    <col min="7283" max="7283" width="15.85546875" style="191" bestFit="1" customWidth="1"/>
    <col min="7284" max="7288" width="14" style="191" customWidth="1"/>
    <col min="7289" max="7289" width="18.42578125" style="191" bestFit="1" customWidth="1"/>
    <col min="7290" max="7290" width="15.140625" style="191" bestFit="1" customWidth="1"/>
    <col min="7291" max="7291" width="15" style="191" bestFit="1" customWidth="1"/>
    <col min="7292" max="7292" width="18.140625" style="191" bestFit="1" customWidth="1"/>
    <col min="7293" max="7293" width="8.7109375" style="191" bestFit="1" customWidth="1"/>
    <col min="7294" max="7294" width="18.42578125" style="191" bestFit="1" customWidth="1"/>
    <col min="7295" max="7295" width="14.85546875" style="191" bestFit="1" customWidth="1"/>
    <col min="7296" max="7296" width="14.140625" style="191" bestFit="1" customWidth="1"/>
    <col min="7297" max="7297" width="13.42578125" style="191" bestFit="1" customWidth="1"/>
    <col min="7298" max="7298" width="8.7109375" style="191" bestFit="1" customWidth="1"/>
    <col min="7299" max="7299" width="15.42578125" style="191" bestFit="1" customWidth="1"/>
    <col min="7300" max="7300" width="12.85546875" style="191" bestFit="1" customWidth="1"/>
    <col min="7301" max="7301" width="15.42578125" style="191" bestFit="1" customWidth="1"/>
    <col min="7302" max="7302" width="19.85546875" style="191" bestFit="1" customWidth="1"/>
    <col min="7303" max="7303" width="10.5703125" style="191" bestFit="1" customWidth="1"/>
    <col min="7304" max="7304" width="19.85546875" style="191" bestFit="1" customWidth="1"/>
    <col min="7305" max="7305" width="15.28515625" style="191" bestFit="1" customWidth="1"/>
    <col min="7306" max="7306" width="15.85546875" style="191" bestFit="1" customWidth="1"/>
    <col min="7307" max="7307" width="17.42578125" style="191" bestFit="1" customWidth="1"/>
    <col min="7308" max="7308" width="14" style="191" bestFit="1" customWidth="1"/>
    <col min="7309" max="7315" width="14" style="191" customWidth="1"/>
    <col min="7316" max="7316" width="17.42578125" style="191" bestFit="1" customWidth="1"/>
    <col min="7317" max="7317" width="14" style="191" customWidth="1"/>
    <col min="7318" max="7318" width="9.5703125" style="191" bestFit="1" customWidth="1"/>
    <col min="7319" max="7319" width="15.5703125" style="191" bestFit="1" customWidth="1"/>
    <col min="7320" max="7320" width="16.5703125" style="191" bestFit="1" customWidth="1"/>
    <col min="7321" max="7321" width="14" style="191" customWidth="1"/>
    <col min="7322" max="7322" width="9.5703125" style="191" bestFit="1" customWidth="1"/>
    <col min="7323" max="7323" width="15.5703125" style="191" bestFit="1" customWidth="1"/>
    <col min="7324" max="7324" width="16.5703125" style="191" bestFit="1" customWidth="1"/>
    <col min="7325" max="7325" width="14.140625" style="191" bestFit="1" customWidth="1"/>
    <col min="7326" max="7330" width="14" style="191" customWidth="1"/>
    <col min="7331" max="7446" width="9.140625" style="191"/>
    <col min="7447" max="7447" width="0.140625" style="191" customWidth="1"/>
    <col min="7448" max="7448" width="17.140625" style="191" customWidth="1"/>
    <col min="7449" max="7449" width="8.5703125" style="191" customWidth="1"/>
    <col min="7450" max="7458" width="0" style="191" hidden="1" customWidth="1"/>
    <col min="7459" max="7459" width="5.140625" style="191" customWidth="1"/>
    <col min="7460" max="7460" width="0" style="191" hidden="1" customWidth="1"/>
    <col min="7461" max="7461" width="4.140625" style="191" customWidth="1"/>
    <col min="7462" max="7462" width="1.7109375" style="191" customWidth="1"/>
    <col min="7463" max="7463" width="5.28515625" style="191" customWidth="1"/>
    <col min="7464" max="7464" width="12.85546875" style="191" bestFit="1" customWidth="1"/>
    <col min="7465" max="7465" width="12.85546875" style="191" customWidth="1"/>
    <col min="7466" max="7469" width="9.140625" style="191"/>
    <col min="7470" max="7470" width="27.85546875" style="191" bestFit="1" customWidth="1"/>
    <col min="7471" max="7472" width="12.7109375" style="191" customWidth="1"/>
    <col min="7473" max="7473" width="9.140625" style="191"/>
    <col min="7474" max="7474" width="17" style="191" bestFit="1" customWidth="1"/>
    <col min="7475" max="7476" width="9.140625" style="191"/>
    <col min="7477" max="7477" width="14" style="191" bestFit="1" customWidth="1"/>
    <col min="7478" max="7478" width="12" style="191" bestFit="1" customWidth="1"/>
    <col min="7479" max="7479" width="12.5703125" style="191" bestFit="1" customWidth="1"/>
    <col min="7480" max="7480" width="14" style="191" bestFit="1" customWidth="1"/>
    <col min="7481" max="7481" width="19" style="191" bestFit="1" customWidth="1"/>
    <col min="7482" max="7482" width="15.7109375" style="191" bestFit="1" customWidth="1"/>
    <col min="7483" max="7483" width="22.28515625" style="191" bestFit="1" customWidth="1"/>
    <col min="7484" max="7484" width="10.5703125" style="191" bestFit="1" customWidth="1"/>
    <col min="7485" max="7485" width="14" style="191" bestFit="1" customWidth="1"/>
    <col min="7486" max="7486" width="14.85546875" style="191" bestFit="1" customWidth="1"/>
    <col min="7487" max="7487" width="11.28515625" style="191" bestFit="1" customWidth="1"/>
    <col min="7488" max="7488" width="14.7109375" style="191" bestFit="1" customWidth="1"/>
    <col min="7489" max="7489" width="11.5703125" style="191" bestFit="1" customWidth="1"/>
    <col min="7490" max="7490" width="18" style="191" bestFit="1" customWidth="1"/>
    <col min="7491" max="7491" width="7.42578125" style="191" bestFit="1" customWidth="1"/>
    <col min="7492" max="7492" width="14" style="191" bestFit="1" customWidth="1"/>
    <col min="7493" max="7497" width="14" style="191" customWidth="1"/>
    <col min="7498" max="7498" width="13.7109375" style="191" bestFit="1" customWidth="1"/>
    <col min="7499" max="7499" width="12.140625" style="191" bestFit="1" customWidth="1"/>
    <col min="7500" max="7500" width="10.5703125" style="191" bestFit="1" customWidth="1"/>
    <col min="7501" max="7502" width="18" style="191" bestFit="1" customWidth="1"/>
    <col min="7503" max="7503" width="8.7109375" style="191" bestFit="1" customWidth="1"/>
    <col min="7504" max="7504" width="14.5703125" style="191" bestFit="1" customWidth="1"/>
    <col min="7505" max="7505" width="15.140625" style="191" bestFit="1" customWidth="1"/>
    <col min="7506" max="7506" width="14.42578125" style="191" bestFit="1" customWidth="1"/>
    <col min="7507" max="7507" width="18.140625" style="191" bestFit="1" customWidth="1"/>
    <col min="7508" max="7508" width="11.28515625" style="191" bestFit="1" customWidth="1"/>
    <col min="7509" max="7509" width="18.85546875" style="191" bestFit="1" customWidth="1"/>
    <col min="7510" max="7510" width="15.5703125" style="191" bestFit="1" customWidth="1"/>
    <col min="7511" max="7511" width="20.42578125" style="191" bestFit="1" customWidth="1"/>
    <col min="7512" max="7512" width="11.42578125" style="191" bestFit="1" customWidth="1"/>
    <col min="7513" max="7513" width="19.42578125" style="191" bestFit="1" customWidth="1"/>
    <col min="7514" max="7514" width="16.28515625" style="191" bestFit="1" customWidth="1"/>
    <col min="7515" max="7515" width="11.42578125" style="191" bestFit="1" customWidth="1"/>
    <col min="7516" max="7516" width="7.5703125" style="191" bestFit="1" customWidth="1"/>
    <col min="7517" max="7517" width="18" style="191" bestFit="1" customWidth="1"/>
    <col min="7518" max="7518" width="14.5703125" style="191" bestFit="1" customWidth="1"/>
    <col min="7519" max="7519" width="14.42578125" style="191" bestFit="1" customWidth="1"/>
    <col min="7520" max="7520" width="12.85546875" style="191" bestFit="1" customWidth="1"/>
    <col min="7521" max="7521" width="8.140625" style="191" bestFit="1" customWidth="1"/>
    <col min="7522" max="7522" width="7.7109375" style="191" bestFit="1" customWidth="1"/>
    <col min="7523" max="7523" width="18.85546875" style="191" bestFit="1" customWidth="1"/>
    <col min="7524" max="7524" width="13.7109375" style="191" bestFit="1" customWidth="1"/>
    <col min="7525" max="7525" width="7.5703125" style="191" bestFit="1" customWidth="1"/>
    <col min="7526" max="7526" width="10.85546875" style="191" bestFit="1" customWidth="1"/>
    <col min="7527" max="7527" width="12.85546875" style="191" bestFit="1" customWidth="1"/>
    <col min="7528" max="7532" width="14" style="191" customWidth="1"/>
    <col min="7533" max="7533" width="15.42578125" style="191" bestFit="1" customWidth="1"/>
    <col min="7534" max="7534" width="13.140625" style="191" bestFit="1" customWidth="1"/>
    <col min="7535" max="7535" width="18.140625" style="191" bestFit="1" customWidth="1"/>
    <col min="7536" max="7537" width="15.42578125" style="191" bestFit="1" customWidth="1"/>
    <col min="7538" max="7538" width="9.7109375" style="191" bestFit="1" customWidth="1"/>
    <col min="7539" max="7539" width="15.85546875" style="191" bestFit="1" customWidth="1"/>
    <col min="7540" max="7544" width="14" style="191" customWidth="1"/>
    <col min="7545" max="7545" width="18.42578125" style="191" bestFit="1" customWidth="1"/>
    <col min="7546" max="7546" width="15.140625" style="191" bestFit="1" customWidth="1"/>
    <col min="7547" max="7547" width="15" style="191" bestFit="1" customWidth="1"/>
    <col min="7548" max="7548" width="18.140625" style="191" bestFit="1" customWidth="1"/>
    <col min="7549" max="7549" width="8.7109375" style="191" bestFit="1" customWidth="1"/>
    <col min="7550" max="7550" width="18.42578125" style="191" bestFit="1" customWidth="1"/>
    <col min="7551" max="7551" width="14.85546875" style="191" bestFit="1" customWidth="1"/>
    <col min="7552" max="7552" width="14.140625" style="191" bestFit="1" customWidth="1"/>
    <col min="7553" max="7553" width="13.42578125" style="191" bestFit="1" customWidth="1"/>
    <col min="7554" max="7554" width="8.7109375" style="191" bestFit="1" customWidth="1"/>
    <col min="7555" max="7555" width="15.42578125" style="191" bestFit="1" customWidth="1"/>
    <col min="7556" max="7556" width="12.85546875" style="191" bestFit="1" customWidth="1"/>
    <col min="7557" max="7557" width="15.42578125" style="191" bestFit="1" customWidth="1"/>
    <col min="7558" max="7558" width="19.85546875" style="191" bestFit="1" customWidth="1"/>
    <col min="7559" max="7559" width="10.5703125" style="191" bestFit="1" customWidth="1"/>
    <col min="7560" max="7560" width="19.85546875" style="191" bestFit="1" customWidth="1"/>
    <col min="7561" max="7561" width="15.28515625" style="191" bestFit="1" customWidth="1"/>
    <col min="7562" max="7562" width="15.85546875" style="191" bestFit="1" customWidth="1"/>
    <col min="7563" max="7563" width="17.42578125" style="191" bestFit="1" customWidth="1"/>
    <col min="7564" max="7564" width="14" style="191" bestFit="1" customWidth="1"/>
    <col min="7565" max="7571" width="14" style="191" customWidth="1"/>
    <col min="7572" max="7572" width="17.42578125" style="191" bestFit="1" customWidth="1"/>
    <col min="7573" max="7573" width="14" style="191" customWidth="1"/>
    <col min="7574" max="7574" width="9.5703125" style="191" bestFit="1" customWidth="1"/>
    <col min="7575" max="7575" width="15.5703125" style="191" bestFit="1" customWidth="1"/>
    <col min="7576" max="7576" width="16.5703125" style="191" bestFit="1" customWidth="1"/>
    <col min="7577" max="7577" width="14" style="191" customWidth="1"/>
    <col min="7578" max="7578" width="9.5703125" style="191" bestFit="1" customWidth="1"/>
    <col min="7579" max="7579" width="15.5703125" style="191" bestFit="1" customWidth="1"/>
    <col min="7580" max="7580" width="16.5703125" style="191" bestFit="1" customWidth="1"/>
    <col min="7581" max="7581" width="14.140625" style="191" bestFit="1" customWidth="1"/>
    <col min="7582" max="7586" width="14" style="191" customWidth="1"/>
    <col min="7587" max="7702" width="9.140625" style="191"/>
    <col min="7703" max="7703" width="0.140625" style="191" customWidth="1"/>
    <col min="7704" max="7704" width="17.140625" style="191" customWidth="1"/>
    <col min="7705" max="7705" width="8.5703125" style="191" customWidth="1"/>
    <col min="7706" max="7714" width="0" style="191" hidden="1" customWidth="1"/>
    <col min="7715" max="7715" width="5.140625" style="191" customWidth="1"/>
    <col min="7716" max="7716" width="0" style="191" hidden="1" customWidth="1"/>
    <col min="7717" max="7717" width="4.140625" style="191" customWidth="1"/>
    <col min="7718" max="7718" width="1.7109375" style="191" customWidth="1"/>
    <col min="7719" max="7719" width="5.28515625" style="191" customWidth="1"/>
    <col min="7720" max="7720" width="12.85546875" style="191" bestFit="1" customWidth="1"/>
    <col min="7721" max="7721" width="12.85546875" style="191" customWidth="1"/>
    <col min="7722" max="7725" width="9.140625" style="191"/>
    <col min="7726" max="7726" width="27.85546875" style="191" bestFit="1" customWidth="1"/>
    <col min="7727" max="7728" width="12.7109375" style="191" customWidth="1"/>
    <col min="7729" max="7729" width="9.140625" style="191"/>
    <col min="7730" max="7730" width="17" style="191" bestFit="1" customWidth="1"/>
    <col min="7731" max="7732" width="9.140625" style="191"/>
    <col min="7733" max="7733" width="14" style="191" bestFit="1" customWidth="1"/>
    <col min="7734" max="7734" width="12" style="191" bestFit="1" customWidth="1"/>
    <col min="7735" max="7735" width="12.5703125" style="191" bestFit="1" customWidth="1"/>
    <col min="7736" max="7736" width="14" style="191" bestFit="1" customWidth="1"/>
    <col min="7737" max="7737" width="19" style="191" bestFit="1" customWidth="1"/>
    <col min="7738" max="7738" width="15.7109375" style="191" bestFit="1" customWidth="1"/>
    <col min="7739" max="7739" width="22.28515625" style="191" bestFit="1" customWidth="1"/>
    <col min="7740" max="7740" width="10.5703125" style="191" bestFit="1" customWidth="1"/>
    <col min="7741" max="7741" width="14" style="191" bestFit="1" customWidth="1"/>
    <col min="7742" max="7742" width="14.85546875" style="191" bestFit="1" customWidth="1"/>
    <col min="7743" max="7743" width="11.28515625" style="191" bestFit="1" customWidth="1"/>
    <col min="7744" max="7744" width="14.7109375" style="191" bestFit="1" customWidth="1"/>
    <col min="7745" max="7745" width="11.5703125" style="191" bestFit="1" customWidth="1"/>
    <col min="7746" max="7746" width="18" style="191" bestFit="1" customWidth="1"/>
    <col min="7747" max="7747" width="7.42578125" style="191" bestFit="1" customWidth="1"/>
    <col min="7748" max="7748" width="14" style="191" bestFit="1" customWidth="1"/>
    <col min="7749" max="7753" width="14" style="191" customWidth="1"/>
    <col min="7754" max="7754" width="13.7109375" style="191" bestFit="1" customWidth="1"/>
    <col min="7755" max="7755" width="12.140625" style="191" bestFit="1" customWidth="1"/>
    <col min="7756" max="7756" width="10.5703125" style="191" bestFit="1" customWidth="1"/>
    <col min="7757" max="7758" width="18" style="191" bestFit="1" customWidth="1"/>
    <col min="7759" max="7759" width="8.7109375" style="191" bestFit="1" customWidth="1"/>
    <col min="7760" max="7760" width="14.5703125" style="191" bestFit="1" customWidth="1"/>
    <col min="7761" max="7761" width="15.140625" style="191" bestFit="1" customWidth="1"/>
    <col min="7762" max="7762" width="14.42578125" style="191" bestFit="1" customWidth="1"/>
    <col min="7763" max="7763" width="18.140625" style="191" bestFit="1" customWidth="1"/>
    <col min="7764" max="7764" width="11.28515625" style="191" bestFit="1" customWidth="1"/>
    <col min="7765" max="7765" width="18.85546875" style="191" bestFit="1" customWidth="1"/>
    <col min="7766" max="7766" width="15.5703125" style="191" bestFit="1" customWidth="1"/>
    <col min="7767" max="7767" width="20.42578125" style="191" bestFit="1" customWidth="1"/>
    <col min="7768" max="7768" width="11.42578125" style="191" bestFit="1" customWidth="1"/>
    <col min="7769" max="7769" width="19.42578125" style="191" bestFit="1" customWidth="1"/>
    <col min="7770" max="7770" width="16.28515625" style="191" bestFit="1" customWidth="1"/>
    <col min="7771" max="7771" width="11.42578125" style="191" bestFit="1" customWidth="1"/>
    <col min="7772" max="7772" width="7.5703125" style="191" bestFit="1" customWidth="1"/>
    <col min="7773" max="7773" width="18" style="191" bestFit="1" customWidth="1"/>
    <col min="7774" max="7774" width="14.5703125" style="191" bestFit="1" customWidth="1"/>
    <col min="7775" max="7775" width="14.42578125" style="191" bestFit="1" customWidth="1"/>
    <col min="7776" max="7776" width="12.85546875" style="191" bestFit="1" customWidth="1"/>
    <col min="7777" max="7777" width="8.140625" style="191" bestFit="1" customWidth="1"/>
    <col min="7778" max="7778" width="7.7109375" style="191" bestFit="1" customWidth="1"/>
    <col min="7779" max="7779" width="18.85546875" style="191" bestFit="1" customWidth="1"/>
    <col min="7780" max="7780" width="13.7109375" style="191" bestFit="1" customWidth="1"/>
    <col min="7781" max="7781" width="7.5703125" style="191" bestFit="1" customWidth="1"/>
    <col min="7782" max="7782" width="10.85546875" style="191" bestFit="1" customWidth="1"/>
    <col min="7783" max="7783" width="12.85546875" style="191" bestFit="1" customWidth="1"/>
    <col min="7784" max="7788" width="14" style="191" customWidth="1"/>
    <col min="7789" max="7789" width="15.42578125" style="191" bestFit="1" customWidth="1"/>
    <col min="7790" max="7790" width="13.140625" style="191" bestFit="1" customWidth="1"/>
    <col min="7791" max="7791" width="18.140625" style="191" bestFit="1" customWidth="1"/>
    <col min="7792" max="7793" width="15.42578125" style="191" bestFit="1" customWidth="1"/>
    <col min="7794" max="7794" width="9.7109375" style="191" bestFit="1" customWidth="1"/>
    <col min="7795" max="7795" width="15.85546875" style="191" bestFit="1" customWidth="1"/>
    <col min="7796" max="7800" width="14" style="191" customWidth="1"/>
    <col min="7801" max="7801" width="18.42578125" style="191" bestFit="1" customWidth="1"/>
    <col min="7802" max="7802" width="15.140625" style="191" bestFit="1" customWidth="1"/>
    <col min="7803" max="7803" width="15" style="191" bestFit="1" customWidth="1"/>
    <col min="7804" max="7804" width="18.140625" style="191" bestFit="1" customWidth="1"/>
    <col min="7805" max="7805" width="8.7109375" style="191" bestFit="1" customWidth="1"/>
    <col min="7806" max="7806" width="18.42578125" style="191" bestFit="1" customWidth="1"/>
    <col min="7807" max="7807" width="14.85546875" style="191" bestFit="1" customWidth="1"/>
    <col min="7808" max="7808" width="14.140625" style="191" bestFit="1" customWidth="1"/>
    <col min="7809" max="7809" width="13.42578125" style="191" bestFit="1" customWidth="1"/>
    <col min="7810" max="7810" width="8.7109375" style="191" bestFit="1" customWidth="1"/>
    <col min="7811" max="7811" width="15.42578125" style="191" bestFit="1" customWidth="1"/>
    <col min="7812" max="7812" width="12.85546875" style="191" bestFit="1" customWidth="1"/>
    <col min="7813" max="7813" width="15.42578125" style="191" bestFit="1" customWidth="1"/>
    <col min="7814" max="7814" width="19.85546875" style="191" bestFit="1" customWidth="1"/>
    <col min="7815" max="7815" width="10.5703125" style="191" bestFit="1" customWidth="1"/>
    <col min="7816" max="7816" width="19.85546875" style="191" bestFit="1" customWidth="1"/>
    <col min="7817" max="7817" width="15.28515625" style="191" bestFit="1" customWidth="1"/>
    <col min="7818" max="7818" width="15.85546875" style="191" bestFit="1" customWidth="1"/>
    <col min="7819" max="7819" width="17.42578125" style="191" bestFit="1" customWidth="1"/>
    <col min="7820" max="7820" width="14" style="191" bestFit="1" customWidth="1"/>
    <col min="7821" max="7827" width="14" style="191" customWidth="1"/>
    <col min="7828" max="7828" width="17.42578125" style="191" bestFit="1" customWidth="1"/>
    <col min="7829" max="7829" width="14" style="191" customWidth="1"/>
    <col min="7830" max="7830" width="9.5703125" style="191" bestFit="1" customWidth="1"/>
    <col min="7831" max="7831" width="15.5703125" style="191" bestFit="1" customWidth="1"/>
    <col min="7832" max="7832" width="16.5703125" style="191" bestFit="1" customWidth="1"/>
    <col min="7833" max="7833" width="14" style="191" customWidth="1"/>
    <col min="7834" max="7834" width="9.5703125" style="191" bestFit="1" customWidth="1"/>
    <col min="7835" max="7835" width="15.5703125" style="191" bestFit="1" customWidth="1"/>
    <col min="7836" max="7836" width="16.5703125" style="191" bestFit="1" customWidth="1"/>
    <col min="7837" max="7837" width="14.140625" style="191" bestFit="1" customWidth="1"/>
    <col min="7838" max="7842" width="14" style="191" customWidth="1"/>
    <col min="7843" max="7958" width="9.140625" style="191"/>
    <col min="7959" max="7959" width="0.140625" style="191" customWidth="1"/>
    <col min="7960" max="7960" width="17.140625" style="191" customWidth="1"/>
    <col min="7961" max="7961" width="8.5703125" style="191" customWidth="1"/>
    <col min="7962" max="7970" width="0" style="191" hidden="1" customWidth="1"/>
    <col min="7971" max="7971" width="5.140625" style="191" customWidth="1"/>
    <col min="7972" max="7972" width="0" style="191" hidden="1" customWidth="1"/>
    <col min="7973" max="7973" width="4.140625" style="191" customWidth="1"/>
    <col min="7974" max="7974" width="1.7109375" style="191" customWidth="1"/>
    <col min="7975" max="7975" width="5.28515625" style="191" customWidth="1"/>
    <col min="7976" max="7976" width="12.85546875" style="191" bestFit="1" customWidth="1"/>
    <col min="7977" max="7977" width="12.85546875" style="191" customWidth="1"/>
    <col min="7978" max="7981" width="9.140625" style="191"/>
    <col min="7982" max="7982" width="27.85546875" style="191" bestFit="1" customWidth="1"/>
    <col min="7983" max="7984" width="12.7109375" style="191" customWidth="1"/>
    <col min="7985" max="7985" width="9.140625" style="191"/>
    <col min="7986" max="7986" width="17" style="191" bestFit="1" customWidth="1"/>
    <col min="7987" max="7988" width="9.140625" style="191"/>
    <col min="7989" max="7989" width="14" style="191" bestFit="1" customWidth="1"/>
    <col min="7990" max="7990" width="12" style="191" bestFit="1" customWidth="1"/>
    <col min="7991" max="7991" width="12.5703125" style="191" bestFit="1" customWidth="1"/>
    <col min="7992" max="7992" width="14" style="191" bestFit="1" customWidth="1"/>
    <col min="7993" max="7993" width="19" style="191" bestFit="1" customWidth="1"/>
    <col min="7994" max="7994" width="15.7109375" style="191" bestFit="1" customWidth="1"/>
    <col min="7995" max="7995" width="22.28515625" style="191" bestFit="1" customWidth="1"/>
    <col min="7996" max="7996" width="10.5703125" style="191" bestFit="1" customWidth="1"/>
    <col min="7997" max="7997" width="14" style="191" bestFit="1" customWidth="1"/>
    <col min="7998" max="7998" width="14.85546875" style="191" bestFit="1" customWidth="1"/>
    <col min="7999" max="7999" width="11.28515625" style="191" bestFit="1" customWidth="1"/>
    <col min="8000" max="8000" width="14.7109375" style="191" bestFit="1" customWidth="1"/>
    <col min="8001" max="8001" width="11.5703125" style="191" bestFit="1" customWidth="1"/>
    <col min="8002" max="8002" width="18" style="191" bestFit="1" customWidth="1"/>
    <col min="8003" max="8003" width="7.42578125" style="191" bestFit="1" customWidth="1"/>
    <col min="8004" max="8004" width="14" style="191" bestFit="1" customWidth="1"/>
    <col min="8005" max="8009" width="14" style="191" customWidth="1"/>
    <col min="8010" max="8010" width="13.7109375" style="191" bestFit="1" customWidth="1"/>
    <col min="8011" max="8011" width="12.140625" style="191" bestFit="1" customWidth="1"/>
    <col min="8012" max="8012" width="10.5703125" style="191" bestFit="1" customWidth="1"/>
    <col min="8013" max="8014" width="18" style="191" bestFit="1" customWidth="1"/>
    <col min="8015" max="8015" width="8.7109375" style="191" bestFit="1" customWidth="1"/>
    <col min="8016" max="8016" width="14.5703125" style="191" bestFit="1" customWidth="1"/>
    <col min="8017" max="8017" width="15.140625" style="191" bestFit="1" customWidth="1"/>
    <col min="8018" max="8018" width="14.42578125" style="191" bestFit="1" customWidth="1"/>
    <col min="8019" max="8019" width="18.140625" style="191" bestFit="1" customWidth="1"/>
    <col min="8020" max="8020" width="11.28515625" style="191" bestFit="1" customWidth="1"/>
    <col min="8021" max="8021" width="18.85546875" style="191" bestFit="1" customWidth="1"/>
    <col min="8022" max="8022" width="15.5703125" style="191" bestFit="1" customWidth="1"/>
    <col min="8023" max="8023" width="20.42578125" style="191" bestFit="1" customWidth="1"/>
    <col min="8024" max="8024" width="11.42578125" style="191" bestFit="1" customWidth="1"/>
    <col min="8025" max="8025" width="19.42578125" style="191" bestFit="1" customWidth="1"/>
    <col min="8026" max="8026" width="16.28515625" style="191" bestFit="1" customWidth="1"/>
    <col min="8027" max="8027" width="11.42578125" style="191" bestFit="1" customWidth="1"/>
    <col min="8028" max="8028" width="7.5703125" style="191" bestFit="1" customWidth="1"/>
    <col min="8029" max="8029" width="18" style="191" bestFit="1" customWidth="1"/>
    <col min="8030" max="8030" width="14.5703125" style="191" bestFit="1" customWidth="1"/>
    <col min="8031" max="8031" width="14.42578125" style="191" bestFit="1" customWidth="1"/>
    <col min="8032" max="8032" width="12.85546875" style="191" bestFit="1" customWidth="1"/>
    <col min="8033" max="8033" width="8.140625" style="191" bestFit="1" customWidth="1"/>
    <col min="8034" max="8034" width="7.7109375" style="191" bestFit="1" customWidth="1"/>
    <col min="8035" max="8035" width="18.85546875" style="191" bestFit="1" customWidth="1"/>
    <col min="8036" max="8036" width="13.7109375" style="191" bestFit="1" customWidth="1"/>
    <col min="8037" max="8037" width="7.5703125" style="191" bestFit="1" customWidth="1"/>
    <col min="8038" max="8038" width="10.85546875" style="191" bestFit="1" customWidth="1"/>
    <col min="8039" max="8039" width="12.85546875" style="191" bestFit="1" customWidth="1"/>
    <col min="8040" max="8044" width="14" style="191" customWidth="1"/>
    <col min="8045" max="8045" width="15.42578125" style="191" bestFit="1" customWidth="1"/>
    <col min="8046" max="8046" width="13.140625" style="191" bestFit="1" customWidth="1"/>
    <col min="8047" max="8047" width="18.140625" style="191" bestFit="1" customWidth="1"/>
    <col min="8048" max="8049" width="15.42578125" style="191" bestFit="1" customWidth="1"/>
    <col min="8050" max="8050" width="9.7109375" style="191" bestFit="1" customWidth="1"/>
    <col min="8051" max="8051" width="15.85546875" style="191" bestFit="1" customWidth="1"/>
    <col min="8052" max="8056" width="14" style="191" customWidth="1"/>
    <col min="8057" max="8057" width="18.42578125" style="191" bestFit="1" customWidth="1"/>
    <col min="8058" max="8058" width="15.140625" style="191" bestFit="1" customWidth="1"/>
    <col min="8059" max="8059" width="15" style="191" bestFit="1" customWidth="1"/>
    <col min="8060" max="8060" width="18.140625" style="191" bestFit="1" customWidth="1"/>
    <col min="8061" max="8061" width="8.7109375" style="191" bestFit="1" customWidth="1"/>
    <col min="8062" max="8062" width="18.42578125" style="191" bestFit="1" customWidth="1"/>
    <col min="8063" max="8063" width="14.85546875" style="191" bestFit="1" customWidth="1"/>
    <col min="8064" max="8064" width="14.140625" style="191" bestFit="1" customWidth="1"/>
    <col min="8065" max="8065" width="13.42578125" style="191" bestFit="1" customWidth="1"/>
    <col min="8066" max="8066" width="8.7109375" style="191" bestFit="1" customWidth="1"/>
    <col min="8067" max="8067" width="15.42578125" style="191" bestFit="1" customWidth="1"/>
    <col min="8068" max="8068" width="12.85546875" style="191" bestFit="1" customWidth="1"/>
    <col min="8069" max="8069" width="15.42578125" style="191" bestFit="1" customWidth="1"/>
    <col min="8070" max="8070" width="19.85546875" style="191" bestFit="1" customWidth="1"/>
    <col min="8071" max="8071" width="10.5703125" style="191" bestFit="1" customWidth="1"/>
    <col min="8072" max="8072" width="19.85546875" style="191" bestFit="1" customWidth="1"/>
    <col min="8073" max="8073" width="15.28515625" style="191" bestFit="1" customWidth="1"/>
    <col min="8074" max="8074" width="15.85546875" style="191" bestFit="1" customWidth="1"/>
    <col min="8075" max="8075" width="17.42578125" style="191" bestFit="1" customWidth="1"/>
    <col min="8076" max="8076" width="14" style="191" bestFit="1" customWidth="1"/>
    <col min="8077" max="8083" width="14" style="191" customWidth="1"/>
    <col min="8084" max="8084" width="17.42578125" style="191" bestFit="1" customWidth="1"/>
    <col min="8085" max="8085" width="14" style="191" customWidth="1"/>
    <col min="8086" max="8086" width="9.5703125" style="191" bestFit="1" customWidth="1"/>
    <col min="8087" max="8087" width="15.5703125" style="191" bestFit="1" customWidth="1"/>
    <col min="8088" max="8088" width="16.5703125" style="191" bestFit="1" customWidth="1"/>
    <col min="8089" max="8089" width="14" style="191" customWidth="1"/>
    <col min="8090" max="8090" width="9.5703125" style="191" bestFit="1" customWidth="1"/>
    <col min="8091" max="8091" width="15.5703125" style="191" bestFit="1" customWidth="1"/>
    <col min="8092" max="8092" width="16.5703125" style="191" bestFit="1" customWidth="1"/>
    <col min="8093" max="8093" width="14.140625" style="191" bestFit="1" customWidth="1"/>
    <col min="8094" max="8098" width="14" style="191" customWidth="1"/>
    <col min="8099" max="8214" width="9.140625" style="191"/>
    <col min="8215" max="8215" width="0.140625" style="191" customWidth="1"/>
    <col min="8216" max="8216" width="17.140625" style="191" customWidth="1"/>
    <col min="8217" max="8217" width="8.5703125" style="191" customWidth="1"/>
    <col min="8218" max="8226" width="0" style="191" hidden="1" customWidth="1"/>
    <col min="8227" max="8227" width="5.140625" style="191" customWidth="1"/>
    <col min="8228" max="8228" width="0" style="191" hidden="1" customWidth="1"/>
    <col min="8229" max="8229" width="4.140625" style="191" customWidth="1"/>
    <col min="8230" max="8230" width="1.7109375" style="191" customWidth="1"/>
    <col min="8231" max="8231" width="5.28515625" style="191" customWidth="1"/>
    <col min="8232" max="8232" width="12.85546875" style="191" bestFit="1" customWidth="1"/>
    <col min="8233" max="8233" width="12.85546875" style="191" customWidth="1"/>
    <col min="8234" max="8237" width="9.140625" style="191"/>
    <col min="8238" max="8238" width="27.85546875" style="191" bestFit="1" customWidth="1"/>
    <col min="8239" max="8240" width="12.7109375" style="191" customWidth="1"/>
    <col min="8241" max="8241" width="9.140625" style="191"/>
    <col min="8242" max="8242" width="17" style="191" bestFit="1" customWidth="1"/>
    <col min="8243" max="8244" width="9.140625" style="191"/>
    <col min="8245" max="8245" width="14" style="191" bestFit="1" customWidth="1"/>
    <col min="8246" max="8246" width="12" style="191" bestFit="1" customWidth="1"/>
    <col min="8247" max="8247" width="12.5703125" style="191" bestFit="1" customWidth="1"/>
    <col min="8248" max="8248" width="14" style="191" bestFit="1" customWidth="1"/>
    <col min="8249" max="8249" width="19" style="191" bestFit="1" customWidth="1"/>
    <col min="8250" max="8250" width="15.7109375" style="191" bestFit="1" customWidth="1"/>
    <col min="8251" max="8251" width="22.28515625" style="191" bestFit="1" customWidth="1"/>
    <col min="8252" max="8252" width="10.5703125" style="191" bestFit="1" customWidth="1"/>
    <col min="8253" max="8253" width="14" style="191" bestFit="1" customWidth="1"/>
    <col min="8254" max="8254" width="14.85546875" style="191" bestFit="1" customWidth="1"/>
    <col min="8255" max="8255" width="11.28515625" style="191" bestFit="1" customWidth="1"/>
    <col min="8256" max="8256" width="14.7109375" style="191" bestFit="1" customWidth="1"/>
    <col min="8257" max="8257" width="11.5703125" style="191" bestFit="1" customWidth="1"/>
    <col min="8258" max="8258" width="18" style="191" bestFit="1" customWidth="1"/>
    <col min="8259" max="8259" width="7.42578125" style="191" bestFit="1" customWidth="1"/>
    <col min="8260" max="8260" width="14" style="191" bestFit="1" customWidth="1"/>
    <col min="8261" max="8265" width="14" style="191" customWidth="1"/>
    <col min="8266" max="8266" width="13.7109375" style="191" bestFit="1" customWidth="1"/>
    <col min="8267" max="8267" width="12.140625" style="191" bestFit="1" customWidth="1"/>
    <col min="8268" max="8268" width="10.5703125" style="191" bestFit="1" customWidth="1"/>
    <col min="8269" max="8270" width="18" style="191" bestFit="1" customWidth="1"/>
    <col min="8271" max="8271" width="8.7109375" style="191" bestFit="1" customWidth="1"/>
    <col min="8272" max="8272" width="14.5703125" style="191" bestFit="1" customWidth="1"/>
    <col min="8273" max="8273" width="15.140625" style="191" bestFit="1" customWidth="1"/>
    <col min="8274" max="8274" width="14.42578125" style="191" bestFit="1" customWidth="1"/>
    <col min="8275" max="8275" width="18.140625" style="191" bestFit="1" customWidth="1"/>
    <col min="8276" max="8276" width="11.28515625" style="191" bestFit="1" customWidth="1"/>
    <col min="8277" max="8277" width="18.85546875" style="191" bestFit="1" customWidth="1"/>
    <col min="8278" max="8278" width="15.5703125" style="191" bestFit="1" customWidth="1"/>
    <col min="8279" max="8279" width="20.42578125" style="191" bestFit="1" customWidth="1"/>
    <col min="8280" max="8280" width="11.42578125" style="191" bestFit="1" customWidth="1"/>
    <col min="8281" max="8281" width="19.42578125" style="191" bestFit="1" customWidth="1"/>
    <col min="8282" max="8282" width="16.28515625" style="191" bestFit="1" customWidth="1"/>
    <col min="8283" max="8283" width="11.42578125" style="191" bestFit="1" customWidth="1"/>
    <col min="8284" max="8284" width="7.5703125" style="191" bestFit="1" customWidth="1"/>
    <col min="8285" max="8285" width="18" style="191" bestFit="1" customWidth="1"/>
    <col min="8286" max="8286" width="14.5703125" style="191" bestFit="1" customWidth="1"/>
    <col min="8287" max="8287" width="14.42578125" style="191" bestFit="1" customWidth="1"/>
    <col min="8288" max="8288" width="12.85546875" style="191" bestFit="1" customWidth="1"/>
    <col min="8289" max="8289" width="8.140625" style="191" bestFit="1" customWidth="1"/>
    <col min="8290" max="8290" width="7.7109375" style="191" bestFit="1" customWidth="1"/>
    <col min="8291" max="8291" width="18.85546875" style="191" bestFit="1" customWidth="1"/>
    <col min="8292" max="8292" width="13.7109375" style="191" bestFit="1" customWidth="1"/>
    <col min="8293" max="8293" width="7.5703125" style="191" bestFit="1" customWidth="1"/>
    <col min="8294" max="8294" width="10.85546875" style="191" bestFit="1" customWidth="1"/>
    <col min="8295" max="8295" width="12.85546875" style="191" bestFit="1" customWidth="1"/>
    <col min="8296" max="8300" width="14" style="191" customWidth="1"/>
    <col min="8301" max="8301" width="15.42578125" style="191" bestFit="1" customWidth="1"/>
    <col min="8302" max="8302" width="13.140625" style="191" bestFit="1" customWidth="1"/>
    <col min="8303" max="8303" width="18.140625" style="191" bestFit="1" customWidth="1"/>
    <col min="8304" max="8305" width="15.42578125" style="191" bestFit="1" customWidth="1"/>
    <col min="8306" max="8306" width="9.7109375" style="191" bestFit="1" customWidth="1"/>
    <col min="8307" max="8307" width="15.85546875" style="191" bestFit="1" customWidth="1"/>
    <col min="8308" max="8312" width="14" style="191" customWidth="1"/>
    <col min="8313" max="8313" width="18.42578125" style="191" bestFit="1" customWidth="1"/>
    <col min="8314" max="8314" width="15.140625" style="191" bestFit="1" customWidth="1"/>
    <col min="8315" max="8315" width="15" style="191" bestFit="1" customWidth="1"/>
    <col min="8316" max="8316" width="18.140625" style="191" bestFit="1" customWidth="1"/>
    <col min="8317" max="8317" width="8.7109375" style="191" bestFit="1" customWidth="1"/>
    <col min="8318" max="8318" width="18.42578125" style="191" bestFit="1" customWidth="1"/>
    <col min="8319" max="8319" width="14.85546875" style="191" bestFit="1" customWidth="1"/>
    <col min="8320" max="8320" width="14.140625" style="191" bestFit="1" customWidth="1"/>
    <col min="8321" max="8321" width="13.42578125" style="191" bestFit="1" customWidth="1"/>
    <col min="8322" max="8322" width="8.7109375" style="191" bestFit="1" customWidth="1"/>
    <col min="8323" max="8323" width="15.42578125" style="191" bestFit="1" customWidth="1"/>
    <col min="8324" max="8324" width="12.85546875" style="191" bestFit="1" customWidth="1"/>
    <col min="8325" max="8325" width="15.42578125" style="191" bestFit="1" customWidth="1"/>
    <col min="8326" max="8326" width="19.85546875" style="191" bestFit="1" customWidth="1"/>
    <col min="8327" max="8327" width="10.5703125" style="191" bestFit="1" customWidth="1"/>
    <col min="8328" max="8328" width="19.85546875" style="191" bestFit="1" customWidth="1"/>
    <col min="8329" max="8329" width="15.28515625" style="191" bestFit="1" customWidth="1"/>
    <col min="8330" max="8330" width="15.85546875" style="191" bestFit="1" customWidth="1"/>
    <col min="8331" max="8331" width="17.42578125" style="191" bestFit="1" customWidth="1"/>
    <col min="8332" max="8332" width="14" style="191" bestFit="1" customWidth="1"/>
    <col min="8333" max="8339" width="14" style="191" customWidth="1"/>
    <col min="8340" max="8340" width="17.42578125" style="191" bestFit="1" customWidth="1"/>
    <col min="8341" max="8341" width="14" style="191" customWidth="1"/>
    <col min="8342" max="8342" width="9.5703125" style="191" bestFit="1" customWidth="1"/>
    <col min="8343" max="8343" width="15.5703125" style="191" bestFit="1" customWidth="1"/>
    <col min="8344" max="8344" width="16.5703125" style="191" bestFit="1" customWidth="1"/>
    <col min="8345" max="8345" width="14" style="191" customWidth="1"/>
    <col min="8346" max="8346" width="9.5703125" style="191" bestFit="1" customWidth="1"/>
    <col min="8347" max="8347" width="15.5703125" style="191" bestFit="1" customWidth="1"/>
    <col min="8348" max="8348" width="16.5703125" style="191" bestFit="1" customWidth="1"/>
    <col min="8349" max="8349" width="14.140625" style="191" bestFit="1" customWidth="1"/>
    <col min="8350" max="8354" width="14" style="191" customWidth="1"/>
    <col min="8355" max="8470" width="9.140625" style="191"/>
    <col min="8471" max="8471" width="0.140625" style="191" customWidth="1"/>
    <col min="8472" max="8472" width="17.140625" style="191" customWidth="1"/>
    <col min="8473" max="8473" width="8.5703125" style="191" customWidth="1"/>
    <col min="8474" max="8482" width="0" style="191" hidden="1" customWidth="1"/>
    <col min="8483" max="8483" width="5.140625" style="191" customWidth="1"/>
    <col min="8484" max="8484" width="0" style="191" hidden="1" customWidth="1"/>
    <col min="8485" max="8485" width="4.140625" style="191" customWidth="1"/>
    <col min="8486" max="8486" width="1.7109375" style="191" customWidth="1"/>
    <col min="8487" max="8487" width="5.28515625" style="191" customWidth="1"/>
    <col min="8488" max="8488" width="12.85546875" style="191" bestFit="1" customWidth="1"/>
    <col min="8489" max="8489" width="12.85546875" style="191" customWidth="1"/>
    <col min="8490" max="8493" width="9.140625" style="191"/>
    <col min="8494" max="8494" width="27.85546875" style="191" bestFit="1" customWidth="1"/>
    <col min="8495" max="8496" width="12.7109375" style="191" customWidth="1"/>
    <col min="8497" max="8497" width="9.140625" style="191"/>
    <col min="8498" max="8498" width="17" style="191" bestFit="1" customWidth="1"/>
    <col min="8499" max="8500" width="9.140625" style="191"/>
    <col min="8501" max="8501" width="14" style="191" bestFit="1" customWidth="1"/>
    <col min="8502" max="8502" width="12" style="191" bestFit="1" customWidth="1"/>
    <col min="8503" max="8503" width="12.5703125" style="191" bestFit="1" customWidth="1"/>
    <col min="8504" max="8504" width="14" style="191" bestFit="1" customWidth="1"/>
    <col min="8505" max="8505" width="19" style="191" bestFit="1" customWidth="1"/>
    <col min="8506" max="8506" width="15.7109375" style="191" bestFit="1" customWidth="1"/>
    <col min="8507" max="8507" width="22.28515625" style="191" bestFit="1" customWidth="1"/>
    <col min="8508" max="8508" width="10.5703125" style="191" bestFit="1" customWidth="1"/>
    <col min="8509" max="8509" width="14" style="191" bestFit="1" customWidth="1"/>
    <col min="8510" max="8510" width="14.85546875" style="191" bestFit="1" customWidth="1"/>
    <col min="8511" max="8511" width="11.28515625" style="191" bestFit="1" customWidth="1"/>
    <col min="8512" max="8512" width="14.7109375" style="191" bestFit="1" customWidth="1"/>
    <col min="8513" max="8513" width="11.5703125" style="191" bestFit="1" customWidth="1"/>
    <col min="8514" max="8514" width="18" style="191" bestFit="1" customWidth="1"/>
    <col min="8515" max="8515" width="7.42578125" style="191" bestFit="1" customWidth="1"/>
    <col min="8516" max="8516" width="14" style="191" bestFit="1" customWidth="1"/>
    <col min="8517" max="8521" width="14" style="191" customWidth="1"/>
    <col min="8522" max="8522" width="13.7109375" style="191" bestFit="1" customWidth="1"/>
    <col min="8523" max="8523" width="12.140625" style="191" bestFit="1" customWidth="1"/>
    <col min="8524" max="8524" width="10.5703125" style="191" bestFit="1" customWidth="1"/>
    <col min="8525" max="8526" width="18" style="191" bestFit="1" customWidth="1"/>
    <col min="8527" max="8527" width="8.7109375" style="191" bestFit="1" customWidth="1"/>
    <col min="8528" max="8528" width="14.5703125" style="191" bestFit="1" customWidth="1"/>
    <col min="8529" max="8529" width="15.140625" style="191" bestFit="1" customWidth="1"/>
    <col min="8530" max="8530" width="14.42578125" style="191" bestFit="1" customWidth="1"/>
    <col min="8531" max="8531" width="18.140625" style="191" bestFit="1" customWidth="1"/>
    <col min="8532" max="8532" width="11.28515625" style="191" bestFit="1" customWidth="1"/>
    <col min="8533" max="8533" width="18.85546875" style="191" bestFit="1" customWidth="1"/>
    <col min="8534" max="8534" width="15.5703125" style="191" bestFit="1" customWidth="1"/>
    <col min="8535" max="8535" width="20.42578125" style="191" bestFit="1" customWidth="1"/>
    <col min="8536" max="8536" width="11.42578125" style="191" bestFit="1" customWidth="1"/>
    <col min="8537" max="8537" width="19.42578125" style="191" bestFit="1" customWidth="1"/>
    <col min="8538" max="8538" width="16.28515625" style="191" bestFit="1" customWidth="1"/>
    <col min="8539" max="8539" width="11.42578125" style="191" bestFit="1" customWidth="1"/>
    <col min="8540" max="8540" width="7.5703125" style="191" bestFit="1" customWidth="1"/>
    <col min="8541" max="8541" width="18" style="191" bestFit="1" customWidth="1"/>
    <col min="8542" max="8542" width="14.5703125" style="191" bestFit="1" customWidth="1"/>
    <col min="8543" max="8543" width="14.42578125" style="191" bestFit="1" customWidth="1"/>
    <col min="8544" max="8544" width="12.85546875" style="191" bestFit="1" customWidth="1"/>
    <col min="8545" max="8545" width="8.140625" style="191" bestFit="1" customWidth="1"/>
    <col min="8546" max="8546" width="7.7109375" style="191" bestFit="1" customWidth="1"/>
    <col min="8547" max="8547" width="18.85546875" style="191" bestFit="1" customWidth="1"/>
    <col min="8548" max="8548" width="13.7109375" style="191" bestFit="1" customWidth="1"/>
    <col min="8549" max="8549" width="7.5703125" style="191" bestFit="1" customWidth="1"/>
    <col min="8550" max="8550" width="10.85546875" style="191" bestFit="1" customWidth="1"/>
    <col min="8551" max="8551" width="12.85546875" style="191" bestFit="1" customWidth="1"/>
    <col min="8552" max="8556" width="14" style="191" customWidth="1"/>
    <col min="8557" max="8557" width="15.42578125" style="191" bestFit="1" customWidth="1"/>
    <col min="8558" max="8558" width="13.140625" style="191" bestFit="1" customWidth="1"/>
    <col min="8559" max="8559" width="18.140625" style="191" bestFit="1" customWidth="1"/>
    <col min="8560" max="8561" width="15.42578125" style="191" bestFit="1" customWidth="1"/>
    <col min="8562" max="8562" width="9.7109375" style="191" bestFit="1" customWidth="1"/>
    <col min="8563" max="8563" width="15.85546875" style="191" bestFit="1" customWidth="1"/>
    <col min="8564" max="8568" width="14" style="191" customWidth="1"/>
    <col min="8569" max="8569" width="18.42578125" style="191" bestFit="1" customWidth="1"/>
    <col min="8570" max="8570" width="15.140625" style="191" bestFit="1" customWidth="1"/>
    <col min="8571" max="8571" width="15" style="191" bestFit="1" customWidth="1"/>
    <col min="8572" max="8572" width="18.140625" style="191" bestFit="1" customWidth="1"/>
    <col min="8573" max="8573" width="8.7109375" style="191" bestFit="1" customWidth="1"/>
    <col min="8574" max="8574" width="18.42578125" style="191" bestFit="1" customWidth="1"/>
    <col min="8575" max="8575" width="14.85546875" style="191" bestFit="1" customWidth="1"/>
    <col min="8576" max="8576" width="14.140625" style="191" bestFit="1" customWidth="1"/>
    <col min="8577" max="8577" width="13.42578125" style="191" bestFit="1" customWidth="1"/>
    <col min="8578" max="8578" width="8.7109375" style="191" bestFit="1" customWidth="1"/>
    <col min="8579" max="8579" width="15.42578125" style="191" bestFit="1" customWidth="1"/>
    <col min="8580" max="8580" width="12.85546875" style="191" bestFit="1" customWidth="1"/>
    <col min="8581" max="8581" width="15.42578125" style="191" bestFit="1" customWidth="1"/>
    <col min="8582" max="8582" width="19.85546875" style="191" bestFit="1" customWidth="1"/>
    <col min="8583" max="8583" width="10.5703125" style="191" bestFit="1" customWidth="1"/>
    <col min="8584" max="8584" width="19.85546875" style="191" bestFit="1" customWidth="1"/>
    <col min="8585" max="8585" width="15.28515625" style="191" bestFit="1" customWidth="1"/>
    <col min="8586" max="8586" width="15.85546875" style="191" bestFit="1" customWidth="1"/>
    <col min="8587" max="8587" width="17.42578125" style="191" bestFit="1" customWidth="1"/>
    <col min="8588" max="8588" width="14" style="191" bestFit="1" customWidth="1"/>
    <col min="8589" max="8595" width="14" style="191" customWidth="1"/>
    <col min="8596" max="8596" width="17.42578125" style="191" bestFit="1" customWidth="1"/>
    <col min="8597" max="8597" width="14" style="191" customWidth="1"/>
    <col min="8598" max="8598" width="9.5703125" style="191" bestFit="1" customWidth="1"/>
    <col min="8599" max="8599" width="15.5703125" style="191" bestFit="1" customWidth="1"/>
    <col min="8600" max="8600" width="16.5703125" style="191" bestFit="1" customWidth="1"/>
    <col min="8601" max="8601" width="14" style="191" customWidth="1"/>
    <col min="8602" max="8602" width="9.5703125" style="191" bestFit="1" customWidth="1"/>
    <col min="8603" max="8603" width="15.5703125" style="191" bestFit="1" customWidth="1"/>
    <col min="8604" max="8604" width="16.5703125" style="191" bestFit="1" customWidth="1"/>
    <col min="8605" max="8605" width="14.140625" style="191" bestFit="1" customWidth="1"/>
    <col min="8606" max="8610" width="14" style="191" customWidth="1"/>
    <col min="8611" max="8726" width="9.140625" style="191"/>
    <col min="8727" max="8727" width="0.140625" style="191" customWidth="1"/>
    <col min="8728" max="8728" width="17.140625" style="191" customWidth="1"/>
    <col min="8729" max="8729" width="8.5703125" style="191" customWidth="1"/>
    <col min="8730" max="8738" width="0" style="191" hidden="1" customWidth="1"/>
    <col min="8739" max="8739" width="5.140625" style="191" customWidth="1"/>
    <col min="8740" max="8740" width="0" style="191" hidden="1" customWidth="1"/>
    <col min="8741" max="8741" width="4.140625" style="191" customWidth="1"/>
    <col min="8742" max="8742" width="1.7109375" style="191" customWidth="1"/>
    <col min="8743" max="8743" width="5.28515625" style="191" customWidth="1"/>
    <col min="8744" max="8744" width="12.85546875" style="191" bestFit="1" customWidth="1"/>
    <col min="8745" max="8745" width="12.85546875" style="191" customWidth="1"/>
    <col min="8746" max="8749" width="9.140625" style="191"/>
    <col min="8750" max="8750" width="27.85546875" style="191" bestFit="1" customWidth="1"/>
    <col min="8751" max="8752" width="12.7109375" style="191" customWidth="1"/>
    <col min="8753" max="8753" width="9.140625" style="191"/>
    <col min="8754" max="8754" width="17" style="191" bestFit="1" customWidth="1"/>
    <col min="8755" max="8756" width="9.140625" style="191"/>
    <col min="8757" max="8757" width="14" style="191" bestFit="1" customWidth="1"/>
    <col min="8758" max="8758" width="12" style="191" bestFit="1" customWidth="1"/>
    <col min="8759" max="8759" width="12.5703125" style="191" bestFit="1" customWidth="1"/>
    <col min="8760" max="8760" width="14" style="191" bestFit="1" customWidth="1"/>
    <col min="8761" max="8761" width="19" style="191" bestFit="1" customWidth="1"/>
    <col min="8762" max="8762" width="15.7109375" style="191" bestFit="1" customWidth="1"/>
    <col min="8763" max="8763" width="22.28515625" style="191" bestFit="1" customWidth="1"/>
    <col min="8764" max="8764" width="10.5703125" style="191" bestFit="1" customWidth="1"/>
    <col min="8765" max="8765" width="14" style="191" bestFit="1" customWidth="1"/>
    <col min="8766" max="8766" width="14.85546875" style="191" bestFit="1" customWidth="1"/>
    <col min="8767" max="8767" width="11.28515625" style="191" bestFit="1" customWidth="1"/>
    <col min="8768" max="8768" width="14.7109375" style="191" bestFit="1" customWidth="1"/>
    <col min="8769" max="8769" width="11.5703125" style="191" bestFit="1" customWidth="1"/>
    <col min="8770" max="8770" width="18" style="191" bestFit="1" customWidth="1"/>
    <col min="8771" max="8771" width="7.42578125" style="191" bestFit="1" customWidth="1"/>
    <col min="8772" max="8772" width="14" style="191" bestFit="1" customWidth="1"/>
    <col min="8773" max="8777" width="14" style="191" customWidth="1"/>
    <col min="8778" max="8778" width="13.7109375" style="191" bestFit="1" customWidth="1"/>
    <col min="8779" max="8779" width="12.140625" style="191" bestFit="1" customWidth="1"/>
    <col min="8780" max="8780" width="10.5703125" style="191" bestFit="1" customWidth="1"/>
    <col min="8781" max="8782" width="18" style="191" bestFit="1" customWidth="1"/>
    <col min="8783" max="8783" width="8.7109375" style="191" bestFit="1" customWidth="1"/>
    <col min="8784" max="8784" width="14.5703125" style="191" bestFit="1" customWidth="1"/>
    <col min="8785" max="8785" width="15.140625" style="191" bestFit="1" customWidth="1"/>
    <col min="8786" max="8786" width="14.42578125" style="191" bestFit="1" customWidth="1"/>
    <col min="8787" max="8787" width="18.140625" style="191" bestFit="1" customWidth="1"/>
    <col min="8788" max="8788" width="11.28515625" style="191" bestFit="1" customWidth="1"/>
    <col min="8789" max="8789" width="18.85546875" style="191" bestFit="1" customWidth="1"/>
    <col min="8790" max="8790" width="15.5703125" style="191" bestFit="1" customWidth="1"/>
    <col min="8791" max="8791" width="20.42578125" style="191" bestFit="1" customWidth="1"/>
    <col min="8792" max="8792" width="11.42578125" style="191" bestFit="1" customWidth="1"/>
    <col min="8793" max="8793" width="19.42578125" style="191" bestFit="1" customWidth="1"/>
    <col min="8794" max="8794" width="16.28515625" style="191" bestFit="1" customWidth="1"/>
    <col min="8795" max="8795" width="11.42578125" style="191" bestFit="1" customWidth="1"/>
    <col min="8796" max="8796" width="7.5703125" style="191" bestFit="1" customWidth="1"/>
    <col min="8797" max="8797" width="18" style="191" bestFit="1" customWidth="1"/>
    <col min="8798" max="8798" width="14.5703125" style="191" bestFit="1" customWidth="1"/>
    <col min="8799" max="8799" width="14.42578125" style="191" bestFit="1" customWidth="1"/>
    <col min="8800" max="8800" width="12.85546875" style="191" bestFit="1" customWidth="1"/>
    <col min="8801" max="8801" width="8.140625" style="191" bestFit="1" customWidth="1"/>
    <col min="8802" max="8802" width="7.7109375" style="191" bestFit="1" customWidth="1"/>
    <col min="8803" max="8803" width="18.85546875" style="191" bestFit="1" customWidth="1"/>
    <col min="8804" max="8804" width="13.7109375" style="191" bestFit="1" customWidth="1"/>
    <col min="8805" max="8805" width="7.5703125" style="191" bestFit="1" customWidth="1"/>
    <col min="8806" max="8806" width="10.85546875" style="191" bestFit="1" customWidth="1"/>
    <col min="8807" max="8807" width="12.85546875" style="191" bestFit="1" customWidth="1"/>
    <col min="8808" max="8812" width="14" style="191" customWidth="1"/>
    <col min="8813" max="8813" width="15.42578125" style="191" bestFit="1" customWidth="1"/>
    <col min="8814" max="8814" width="13.140625" style="191" bestFit="1" customWidth="1"/>
    <col min="8815" max="8815" width="18.140625" style="191" bestFit="1" customWidth="1"/>
    <col min="8816" max="8817" width="15.42578125" style="191" bestFit="1" customWidth="1"/>
    <col min="8818" max="8818" width="9.7109375" style="191" bestFit="1" customWidth="1"/>
    <col min="8819" max="8819" width="15.85546875" style="191" bestFit="1" customWidth="1"/>
    <col min="8820" max="8824" width="14" style="191" customWidth="1"/>
    <col min="8825" max="8825" width="18.42578125" style="191" bestFit="1" customWidth="1"/>
    <col min="8826" max="8826" width="15.140625" style="191" bestFit="1" customWidth="1"/>
    <col min="8827" max="8827" width="15" style="191" bestFit="1" customWidth="1"/>
    <col min="8828" max="8828" width="18.140625" style="191" bestFit="1" customWidth="1"/>
    <col min="8829" max="8829" width="8.7109375" style="191" bestFit="1" customWidth="1"/>
    <col min="8830" max="8830" width="18.42578125" style="191" bestFit="1" customWidth="1"/>
    <col min="8831" max="8831" width="14.85546875" style="191" bestFit="1" customWidth="1"/>
    <col min="8832" max="8832" width="14.140625" style="191" bestFit="1" customWidth="1"/>
    <col min="8833" max="8833" width="13.42578125" style="191" bestFit="1" customWidth="1"/>
    <col min="8834" max="8834" width="8.7109375" style="191" bestFit="1" customWidth="1"/>
    <col min="8835" max="8835" width="15.42578125" style="191" bestFit="1" customWidth="1"/>
    <col min="8836" max="8836" width="12.85546875" style="191" bestFit="1" customWidth="1"/>
    <col min="8837" max="8837" width="15.42578125" style="191" bestFit="1" customWidth="1"/>
    <col min="8838" max="8838" width="19.85546875" style="191" bestFit="1" customWidth="1"/>
    <col min="8839" max="8839" width="10.5703125" style="191" bestFit="1" customWidth="1"/>
    <col min="8840" max="8840" width="19.85546875" style="191" bestFit="1" customWidth="1"/>
    <col min="8841" max="8841" width="15.28515625" style="191" bestFit="1" customWidth="1"/>
    <col min="8842" max="8842" width="15.85546875" style="191" bestFit="1" customWidth="1"/>
    <col min="8843" max="8843" width="17.42578125" style="191" bestFit="1" customWidth="1"/>
    <col min="8844" max="8844" width="14" style="191" bestFit="1" customWidth="1"/>
    <col min="8845" max="8851" width="14" style="191" customWidth="1"/>
    <col min="8852" max="8852" width="17.42578125" style="191" bestFit="1" customWidth="1"/>
    <col min="8853" max="8853" width="14" style="191" customWidth="1"/>
    <col min="8854" max="8854" width="9.5703125" style="191" bestFit="1" customWidth="1"/>
    <col min="8855" max="8855" width="15.5703125" style="191" bestFit="1" customWidth="1"/>
    <col min="8856" max="8856" width="16.5703125" style="191" bestFit="1" customWidth="1"/>
    <col min="8857" max="8857" width="14" style="191" customWidth="1"/>
    <col min="8858" max="8858" width="9.5703125" style="191" bestFit="1" customWidth="1"/>
    <col min="8859" max="8859" width="15.5703125" style="191" bestFit="1" customWidth="1"/>
    <col min="8860" max="8860" width="16.5703125" style="191" bestFit="1" customWidth="1"/>
    <col min="8861" max="8861" width="14.140625" style="191" bestFit="1" customWidth="1"/>
    <col min="8862" max="8866" width="14" style="191" customWidth="1"/>
    <col min="8867" max="8982" width="9.140625" style="191"/>
    <col min="8983" max="8983" width="0.140625" style="191" customWidth="1"/>
    <col min="8984" max="8984" width="17.140625" style="191" customWidth="1"/>
    <col min="8985" max="8985" width="8.5703125" style="191" customWidth="1"/>
    <col min="8986" max="8994" width="0" style="191" hidden="1" customWidth="1"/>
    <col min="8995" max="8995" width="5.140625" style="191" customWidth="1"/>
    <col min="8996" max="8996" width="0" style="191" hidden="1" customWidth="1"/>
    <col min="8997" max="8997" width="4.140625" style="191" customWidth="1"/>
    <col min="8998" max="8998" width="1.7109375" style="191" customWidth="1"/>
    <col min="8999" max="8999" width="5.28515625" style="191" customWidth="1"/>
    <col min="9000" max="9000" width="12.85546875" style="191" bestFit="1" customWidth="1"/>
    <col min="9001" max="9001" width="12.85546875" style="191" customWidth="1"/>
    <col min="9002" max="9005" width="9.140625" style="191"/>
    <col min="9006" max="9006" width="27.85546875" style="191" bestFit="1" customWidth="1"/>
    <col min="9007" max="9008" width="12.7109375" style="191" customWidth="1"/>
    <col min="9009" max="9009" width="9.140625" style="191"/>
    <col min="9010" max="9010" width="17" style="191" bestFit="1" customWidth="1"/>
    <col min="9011" max="9012" width="9.140625" style="191"/>
    <col min="9013" max="9013" width="14" style="191" bestFit="1" customWidth="1"/>
    <col min="9014" max="9014" width="12" style="191" bestFit="1" customWidth="1"/>
    <col min="9015" max="9015" width="12.5703125" style="191" bestFit="1" customWidth="1"/>
    <col min="9016" max="9016" width="14" style="191" bestFit="1" customWidth="1"/>
    <col min="9017" max="9017" width="19" style="191" bestFit="1" customWidth="1"/>
    <col min="9018" max="9018" width="15.7109375" style="191" bestFit="1" customWidth="1"/>
    <col min="9019" max="9019" width="22.28515625" style="191" bestFit="1" customWidth="1"/>
    <col min="9020" max="9020" width="10.5703125" style="191" bestFit="1" customWidth="1"/>
    <col min="9021" max="9021" width="14" style="191" bestFit="1" customWidth="1"/>
    <col min="9022" max="9022" width="14.85546875" style="191" bestFit="1" customWidth="1"/>
    <col min="9023" max="9023" width="11.28515625" style="191" bestFit="1" customWidth="1"/>
    <col min="9024" max="9024" width="14.7109375" style="191" bestFit="1" customWidth="1"/>
    <col min="9025" max="9025" width="11.5703125" style="191" bestFit="1" customWidth="1"/>
    <col min="9026" max="9026" width="18" style="191" bestFit="1" customWidth="1"/>
    <col min="9027" max="9027" width="7.42578125" style="191" bestFit="1" customWidth="1"/>
    <col min="9028" max="9028" width="14" style="191" bestFit="1" customWidth="1"/>
    <col min="9029" max="9033" width="14" style="191" customWidth="1"/>
    <col min="9034" max="9034" width="13.7109375" style="191" bestFit="1" customWidth="1"/>
    <col min="9035" max="9035" width="12.140625" style="191" bestFit="1" customWidth="1"/>
    <col min="9036" max="9036" width="10.5703125" style="191" bestFit="1" customWidth="1"/>
    <col min="9037" max="9038" width="18" style="191" bestFit="1" customWidth="1"/>
    <col min="9039" max="9039" width="8.7109375" style="191" bestFit="1" customWidth="1"/>
    <col min="9040" max="9040" width="14.5703125" style="191" bestFit="1" customWidth="1"/>
    <col min="9041" max="9041" width="15.140625" style="191" bestFit="1" customWidth="1"/>
    <col min="9042" max="9042" width="14.42578125" style="191" bestFit="1" customWidth="1"/>
    <col min="9043" max="9043" width="18.140625" style="191" bestFit="1" customWidth="1"/>
    <col min="9044" max="9044" width="11.28515625" style="191" bestFit="1" customWidth="1"/>
    <col min="9045" max="9045" width="18.85546875" style="191" bestFit="1" customWidth="1"/>
    <col min="9046" max="9046" width="15.5703125" style="191" bestFit="1" customWidth="1"/>
    <col min="9047" max="9047" width="20.42578125" style="191" bestFit="1" customWidth="1"/>
    <col min="9048" max="9048" width="11.42578125" style="191" bestFit="1" customWidth="1"/>
    <col min="9049" max="9049" width="19.42578125" style="191" bestFit="1" customWidth="1"/>
    <col min="9050" max="9050" width="16.28515625" style="191" bestFit="1" customWidth="1"/>
    <col min="9051" max="9051" width="11.42578125" style="191" bestFit="1" customWidth="1"/>
    <col min="9052" max="9052" width="7.5703125" style="191" bestFit="1" customWidth="1"/>
    <col min="9053" max="9053" width="18" style="191" bestFit="1" customWidth="1"/>
    <col min="9054" max="9054" width="14.5703125" style="191" bestFit="1" customWidth="1"/>
    <col min="9055" max="9055" width="14.42578125" style="191" bestFit="1" customWidth="1"/>
    <col min="9056" max="9056" width="12.85546875" style="191" bestFit="1" customWidth="1"/>
    <col min="9057" max="9057" width="8.140625" style="191" bestFit="1" customWidth="1"/>
    <col min="9058" max="9058" width="7.7109375" style="191" bestFit="1" customWidth="1"/>
    <col min="9059" max="9059" width="18.85546875" style="191" bestFit="1" customWidth="1"/>
    <col min="9060" max="9060" width="13.7109375" style="191" bestFit="1" customWidth="1"/>
    <col min="9061" max="9061" width="7.5703125" style="191" bestFit="1" customWidth="1"/>
    <col min="9062" max="9062" width="10.85546875" style="191" bestFit="1" customWidth="1"/>
    <col min="9063" max="9063" width="12.85546875" style="191" bestFit="1" customWidth="1"/>
    <col min="9064" max="9068" width="14" style="191" customWidth="1"/>
    <col min="9069" max="9069" width="15.42578125" style="191" bestFit="1" customWidth="1"/>
    <col min="9070" max="9070" width="13.140625" style="191" bestFit="1" customWidth="1"/>
    <col min="9071" max="9071" width="18.140625" style="191" bestFit="1" customWidth="1"/>
    <col min="9072" max="9073" width="15.42578125" style="191" bestFit="1" customWidth="1"/>
    <col min="9074" max="9074" width="9.7109375" style="191" bestFit="1" customWidth="1"/>
    <col min="9075" max="9075" width="15.85546875" style="191" bestFit="1" customWidth="1"/>
    <col min="9076" max="9080" width="14" style="191" customWidth="1"/>
    <col min="9081" max="9081" width="18.42578125" style="191" bestFit="1" customWidth="1"/>
    <col min="9082" max="9082" width="15.140625" style="191" bestFit="1" customWidth="1"/>
    <col min="9083" max="9083" width="15" style="191" bestFit="1" customWidth="1"/>
    <col min="9084" max="9084" width="18.140625" style="191" bestFit="1" customWidth="1"/>
    <col min="9085" max="9085" width="8.7109375" style="191" bestFit="1" customWidth="1"/>
    <col min="9086" max="9086" width="18.42578125" style="191" bestFit="1" customWidth="1"/>
    <col min="9087" max="9087" width="14.85546875" style="191" bestFit="1" customWidth="1"/>
    <col min="9088" max="9088" width="14.140625" style="191" bestFit="1" customWidth="1"/>
    <col min="9089" max="9089" width="13.42578125" style="191" bestFit="1" customWidth="1"/>
    <col min="9090" max="9090" width="8.7109375" style="191" bestFit="1" customWidth="1"/>
    <col min="9091" max="9091" width="15.42578125" style="191" bestFit="1" customWidth="1"/>
    <col min="9092" max="9092" width="12.85546875" style="191" bestFit="1" customWidth="1"/>
    <col min="9093" max="9093" width="15.42578125" style="191" bestFit="1" customWidth="1"/>
    <col min="9094" max="9094" width="19.85546875" style="191" bestFit="1" customWidth="1"/>
    <col min="9095" max="9095" width="10.5703125" style="191" bestFit="1" customWidth="1"/>
    <col min="9096" max="9096" width="19.85546875" style="191" bestFit="1" customWidth="1"/>
    <col min="9097" max="9097" width="15.28515625" style="191" bestFit="1" customWidth="1"/>
    <col min="9098" max="9098" width="15.85546875" style="191" bestFit="1" customWidth="1"/>
    <col min="9099" max="9099" width="17.42578125" style="191" bestFit="1" customWidth="1"/>
    <col min="9100" max="9100" width="14" style="191" bestFit="1" customWidth="1"/>
    <col min="9101" max="9107" width="14" style="191" customWidth="1"/>
    <col min="9108" max="9108" width="17.42578125" style="191" bestFit="1" customWidth="1"/>
    <col min="9109" max="9109" width="14" style="191" customWidth="1"/>
    <col min="9110" max="9110" width="9.5703125" style="191" bestFit="1" customWidth="1"/>
    <col min="9111" max="9111" width="15.5703125" style="191" bestFit="1" customWidth="1"/>
    <col min="9112" max="9112" width="16.5703125" style="191" bestFit="1" customWidth="1"/>
    <col min="9113" max="9113" width="14" style="191" customWidth="1"/>
    <col min="9114" max="9114" width="9.5703125" style="191" bestFit="1" customWidth="1"/>
    <col min="9115" max="9115" width="15.5703125" style="191" bestFit="1" customWidth="1"/>
    <col min="9116" max="9116" width="16.5703125" style="191" bestFit="1" customWidth="1"/>
    <col min="9117" max="9117" width="14.140625" style="191" bestFit="1" customWidth="1"/>
    <col min="9118" max="9122" width="14" style="191" customWidth="1"/>
    <col min="9123" max="9238" width="9.140625" style="191"/>
    <col min="9239" max="9239" width="0.140625" style="191" customWidth="1"/>
    <col min="9240" max="9240" width="17.140625" style="191" customWidth="1"/>
    <col min="9241" max="9241" width="8.5703125" style="191" customWidth="1"/>
    <col min="9242" max="9250" width="0" style="191" hidden="1" customWidth="1"/>
    <col min="9251" max="9251" width="5.140625" style="191" customWidth="1"/>
    <col min="9252" max="9252" width="0" style="191" hidden="1" customWidth="1"/>
    <col min="9253" max="9253" width="4.140625" style="191" customWidth="1"/>
    <col min="9254" max="9254" width="1.7109375" style="191" customWidth="1"/>
    <col min="9255" max="9255" width="5.28515625" style="191" customWidth="1"/>
    <col min="9256" max="9256" width="12.85546875" style="191" bestFit="1" customWidth="1"/>
    <col min="9257" max="9257" width="12.85546875" style="191" customWidth="1"/>
    <col min="9258" max="9261" width="9.140625" style="191"/>
    <col min="9262" max="9262" width="27.85546875" style="191" bestFit="1" customWidth="1"/>
    <col min="9263" max="9264" width="12.7109375" style="191" customWidth="1"/>
    <col min="9265" max="9265" width="9.140625" style="191"/>
    <col min="9266" max="9266" width="17" style="191" bestFit="1" customWidth="1"/>
    <col min="9267" max="9268" width="9.140625" style="191"/>
    <col min="9269" max="9269" width="14" style="191" bestFit="1" customWidth="1"/>
    <col min="9270" max="9270" width="12" style="191" bestFit="1" customWidth="1"/>
    <col min="9271" max="9271" width="12.5703125" style="191" bestFit="1" customWidth="1"/>
    <col min="9272" max="9272" width="14" style="191" bestFit="1" customWidth="1"/>
    <col min="9273" max="9273" width="19" style="191" bestFit="1" customWidth="1"/>
    <col min="9274" max="9274" width="15.7109375" style="191" bestFit="1" customWidth="1"/>
    <col min="9275" max="9275" width="22.28515625" style="191" bestFit="1" customWidth="1"/>
    <col min="9276" max="9276" width="10.5703125" style="191" bestFit="1" customWidth="1"/>
    <col min="9277" max="9277" width="14" style="191" bestFit="1" customWidth="1"/>
    <col min="9278" max="9278" width="14.85546875" style="191" bestFit="1" customWidth="1"/>
    <col min="9279" max="9279" width="11.28515625" style="191" bestFit="1" customWidth="1"/>
    <col min="9280" max="9280" width="14.7109375" style="191" bestFit="1" customWidth="1"/>
    <col min="9281" max="9281" width="11.5703125" style="191" bestFit="1" customWidth="1"/>
    <col min="9282" max="9282" width="18" style="191" bestFit="1" customWidth="1"/>
    <col min="9283" max="9283" width="7.42578125" style="191" bestFit="1" customWidth="1"/>
    <col min="9284" max="9284" width="14" style="191" bestFit="1" customWidth="1"/>
    <col min="9285" max="9289" width="14" style="191" customWidth="1"/>
    <col min="9290" max="9290" width="13.7109375" style="191" bestFit="1" customWidth="1"/>
    <col min="9291" max="9291" width="12.140625" style="191" bestFit="1" customWidth="1"/>
    <col min="9292" max="9292" width="10.5703125" style="191" bestFit="1" customWidth="1"/>
    <col min="9293" max="9294" width="18" style="191" bestFit="1" customWidth="1"/>
    <col min="9295" max="9295" width="8.7109375" style="191" bestFit="1" customWidth="1"/>
    <col min="9296" max="9296" width="14.5703125" style="191" bestFit="1" customWidth="1"/>
    <col min="9297" max="9297" width="15.140625" style="191" bestFit="1" customWidth="1"/>
    <col min="9298" max="9298" width="14.42578125" style="191" bestFit="1" customWidth="1"/>
    <col min="9299" max="9299" width="18.140625" style="191" bestFit="1" customWidth="1"/>
    <col min="9300" max="9300" width="11.28515625" style="191" bestFit="1" customWidth="1"/>
    <col min="9301" max="9301" width="18.85546875" style="191" bestFit="1" customWidth="1"/>
    <col min="9302" max="9302" width="15.5703125" style="191" bestFit="1" customWidth="1"/>
    <col min="9303" max="9303" width="20.42578125" style="191" bestFit="1" customWidth="1"/>
    <col min="9304" max="9304" width="11.42578125" style="191" bestFit="1" customWidth="1"/>
    <col min="9305" max="9305" width="19.42578125" style="191" bestFit="1" customWidth="1"/>
    <col min="9306" max="9306" width="16.28515625" style="191" bestFit="1" customWidth="1"/>
    <col min="9307" max="9307" width="11.42578125" style="191" bestFit="1" customWidth="1"/>
    <col min="9308" max="9308" width="7.5703125" style="191" bestFit="1" customWidth="1"/>
    <col min="9309" max="9309" width="18" style="191" bestFit="1" customWidth="1"/>
    <col min="9310" max="9310" width="14.5703125" style="191" bestFit="1" customWidth="1"/>
    <col min="9311" max="9311" width="14.42578125" style="191" bestFit="1" customWidth="1"/>
    <col min="9312" max="9312" width="12.85546875" style="191" bestFit="1" customWidth="1"/>
    <col min="9313" max="9313" width="8.140625" style="191" bestFit="1" customWidth="1"/>
    <col min="9314" max="9314" width="7.7109375" style="191" bestFit="1" customWidth="1"/>
    <col min="9315" max="9315" width="18.85546875" style="191" bestFit="1" customWidth="1"/>
    <col min="9316" max="9316" width="13.7109375" style="191" bestFit="1" customWidth="1"/>
    <col min="9317" max="9317" width="7.5703125" style="191" bestFit="1" customWidth="1"/>
    <col min="9318" max="9318" width="10.85546875" style="191" bestFit="1" customWidth="1"/>
    <col min="9319" max="9319" width="12.85546875" style="191" bestFit="1" customWidth="1"/>
    <col min="9320" max="9324" width="14" style="191" customWidth="1"/>
    <col min="9325" max="9325" width="15.42578125" style="191" bestFit="1" customWidth="1"/>
    <col min="9326" max="9326" width="13.140625" style="191" bestFit="1" customWidth="1"/>
    <col min="9327" max="9327" width="18.140625" style="191" bestFit="1" customWidth="1"/>
    <col min="9328" max="9329" width="15.42578125" style="191" bestFit="1" customWidth="1"/>
    <col min="9330" max="9330" width="9.7109375" style="191" bestFit="1" customWidth="1"/>
    <col min="9331" max="9331" width="15.85546875" style="191" bestFit="1" customWidth="1"/>
    <col min="9332" max="9336" width="14" style="191" customWidth="1"/>
    <col min="9337" max="9337" width="18.42578125" style="191" bestFit="1" customWidth="1"/>
    <col min="9338" max="9338" width="15.140625" style="191" bestFit="1" customWidth="1"/>
    <col min="9339" max="9339" width="15" style="191" bestFit="1" customWidth="1"/>
    <col min="9340" max="9340" width="18.140625" style="191" bestFit="1" customWidth="1"/>
    <col min="9341" max="9341" width="8.7109375" style="191" bestFit="1" customWidth="1"/>
    <col min="9342" max="9342" width="18.42578125" style="191" bestFit="1" customWidth="1"/>
    <col min="9343" max="9343" width="14.85546875" style="191" bestFit="1" customWidth="1"/>
    <col min="9344" max="9344" width="14.140625" style="191" bestFit="1" customWidth="1"/>
    <col min="9345" max="9345" width="13.42578125" style="191" bestFit="1" customWidth="1"/>
    <col min="9346" max="9346" width="8.7109375" style="191" bestFit="1" customWidth="1"/>
    <col min="9347" max="9347" width="15.42578125" style="191" bestFit="1" customWidth="1"/>
    <col min="9348" max="9348" width="12.85546875" style="191" bestFit="1" customWidth="1"/>
    <col min="9349" max="9349" width="15.42578125" style="191" bestFit="1" customWidth="1"/>
    <col min="9350" max="9350" width="19.85546875" style="191" bestFit="1" customWidth="1"/>
    <col min="9351" max="9351" width="10.5703125" style="191" bestFit="1" customWidth="1"/>
    <col min="9352" max="9352" width="19.85546875" style="191" bestFit="1" customWidth="1"/>
    <col min="9353" max="9353" width="15.28515625" style="191" bestFit="1" customWidth="1"/>
    <col min="9354" max="9354" width="15.85546875" style="191" bestFit="1" customWidth="1"/>
    <col min="9355" max="9355" width="17.42578125" style="191" bestFit="1" customWidth="1"/>
    <col min="9356" max="9356" width="14" style="191" bestFit="1" customWidth="1"/>
    <col min="9357" max="9363" width="14" style="191" customWidth="1"/>
    <col min="9364" max="9364" width="17.42578125" style="191" bestFit="1" customWidth="1"/>
    <col min="9365" max="9365" width="14" style="191" customWidth="1"/>
    <col min="9366" max="9366" width="9.5703125" style="191" bestFit="1" customWidth="1"/>
    <col min="9367" max="9367" width="15.5703125" style="191" bestFit="1" customWidth="1"/>
    <col min="9368" max="9368" width="16.5703125" style="191" bestFit="1" customWidth="1"/>
    <col min="9369" max="9369" width="14" style="191" customWidth="1"/>
    <col min="9370" max="9370" width="9.5703125" style="191" bestFit="1" customWidth="1"/>
    <col min="9371" max="9371" width="15.5703125" style="191" bestFit="1" customWidth="1"/>
    <col min="9372" max="9372" width="16.5703125" style="191" bestFit="1" customWidth="1"/>
    <col min="9373" max="9373" width="14.140625" style="191" bestFit="1" customWidth="1"/>
    <col min="9374" max="9378" width="14" style="191" customWidth="1"/>
    <col min="9379" max="9494" width="9.140625" style="191"/>
    <col min="9495" max="9495" width="0.140625" style="191" customWidth="1"/>
    <col min="9496" max="9496" width="17.140625" style="191" customWidth="1"/>
    <col min="9497" max="9497" width="8.5703125" style="191" customWidth="1"/>
    <col min="9498" max="9506" width="0" style="191" hidden="1" customWidth="1"/>
    <col min="9507" max="9507" width="5.140625" style="191" customWidth="1"/>
    <col min="9508" max="9508" width="0" style="191" hidden="1" customWidth="1"/>
    <col min="9509" max="9509" width="4.140625" style="191" customWidth="1"/>
    <col min="9510" max="9510" width="1.7109375" style="191" customWidth="1"/>
    <col min="9511" max="9511" width="5.28515625" style="191" customWidth="1"/>
    <col min="9512" max="9512" width="12.85546875" style="191" bestFit="1" customWidth="1"/>
    <col min="9513" max="9513" width="12.85546875" style="191" customWidth="1"/>
    <col min="9514" max="9517" width="9.140625" style="191"/>
    <col min="9518" max="9518" width="27.85546875" style="191" bestFit="1" customWidth="1"/>
    <col min="9519" max="9520" width="12.7109375" style="191" customWidth="1"/>
    <col min="9521" max="9521" width="9.140625" style="191"/>
    <col min="9522" max="9522" width="17" style="191" bestFit="1" customWidth="1"/>
    <col min="9523" max="9524" width="9.140625" style="191"/>
    <col min="9525" max="9525" width="14" style="191" bestFit="1" customWidth="1"/>
    <col min="9526" max="9526" width="12" style="191" bestFit="1" customWidth="1"/>
    <col min="9527" max="9527" width="12.5703125" style="191" bestFit="1" customWidth="1"/>
    <col min="9528" max="9528" width="14" style="191" bestFit="1" customWidth="1"/>
    <col min="9529" max="9529" width="19" style="191" bestFit="1" customWidth="1"/>
    <col min="9530" max="9530" width="15.7109375" style="191" bestFit="1" customWidth="1"/>
    <col min="9531" max="9531" width="22.28515625" style="191" bestFit="1" customWidth="1"/>
    <col min="9532" max="9532" width="10.5703125" style="191" bestFit="1" customWidth="1"/>
    <col min="9533" max="9533" width="14" style="191" bestFit="1" customWidth="1"/>
    <col min="9534" max="9534" width="14.85546875" style="191" bestFit="1" customWidth="1"/>
    <col min="9535" max="9535" width="11.28515625" style="191" bestFit="1" customWidth="1"/>
    <col min="9536" max="9536" width="14.7109375" style="191" bestFit="1" customWidth="1"/>
    <col min="9537" max="9537" width="11.5703125" style="191" bestFit="1" customWidth="1"/>
    <col min="9538" max="9538" width="18" style="191" bestFit="1" customWidth="1"/>
    <col min="9539" max="9539" width="7.42578125" style="191" bestFit="1" customWidth="1"/>
    <col min="9540" max="9540" width="14" style="191" bestFit="1" customWidth="1"/>
    <col min="9541" max="9545" width="14" style="191" customWidth="1"/>
    <col min="9546" max="9546" width="13.7109375" style="191" bestFit="1" customWidth="1"/>
    <col min="9547" max="9547" width="12.140625" style="191" bestFit="1" customWidth="1"/>
    <col min="9548" max="9548" width="10.5703125" style="191" bestFit="1" customWidth="1"/>
    <col min="9549" max="9550" width="18" style="191" bestFit="1" customWidth="1"/>
    <col min="9551" max="9551" width="8.7109375" style="191" bestFit="1" customWidth="1"/>
    <col min="9552" max="9552" width="14.5703125" style="191" bestFit="1" customWidth="1"/>
    <col min="9553" max="9553" width="15.140625" style="191" bestFit="1" customWidth="1"/>
    <col min="9554" max="9554" width="14.42578125" style="191" bestFit="1" customWidth="1"/>
    <col min="9555" max="9555" width="18.140625" style="191" bestFit="1" customWidth="1"/>
    <col min="9556" max="9556" width="11.28515625" style="191" bestFit="1" customWidth="1"/>
    <col min="9557" max="9557" width="18.85546875" style="191" bestFit="1" customWidth="1"/>
    <col min="9558" max="9558" width="15.5703125" style="191" bestFit="1" customWidth="1"/>
    <col min="9559" max="9559" width="20.42578125" style="191" bestFit="1" customWidth="1"/>
    <col min="9560" max="9560" width="11.42578125" style="191" bestFit="1" customWidth="1"/>
    <col min="9561" max="9561" width="19.42578125" style="191" bestFit="1" customWidth="1"/>
    <col min="9562" max="9562" width="16.28515625" style="191" bestFit="1" customWidth="1"/>
    <col min="9563" max="9563" width="11.42578125" style="191" bestFit="1" customWidth="1"/>
    <col min="9564" max="9564" width="7.5703125" style="191" bestFit="1" customWidth="1"/>
    <col min="9565" max="9565" width="18" style="191" bestFit="1" customWidth="1"/>
    <col min="9566" max="9566" width="14.5703125" style="191" bestFit="1" customWidth="1"/>
    <col min="9567" max="9567" width="14.42578125" style="191" bestFit="1" customWidth="1"/>
    <col min="9568" max="9568" width="12.85546875" style="191" bestFit="1" customWidth="1"/>
    <col min="9569" max="9569" width="8.140625" style="191" bestFit="1" customWidth="1"/>
    <col min="9570" max="9570" width="7.7109375" style="191" bestFit="1" customWidth="1"/>
    <col min="9571" max="9571" width="18.85546875" style="191" bestFit="1" customWidth="1"/>
    <col min="9572" max="9572" width="13.7109375" style="191" bestFit="1" customWidth="1"/>
    <col min="9573" max="9573" width="7.5703125" style="191" bestFit="1" customWidth="1"/>
    <col min="9574" max="9574" width="10.85546875" style="191" bestFit="1" customWidth="1"/>
    <col min="9575" max="9575" width="12.85546875" style="191" bestFit="1" customWidth="1"/>
    <col min="9576" max="9580" width="14" style="191" customWidth="1"/>
    <col min="9581" max="9581" width="15.42578125" style="191" bestFit="1" customWidth="1"/>
    <col min="9582" max="9582" width="13.140625" style="191" bestFit="1" customWidth="1"/>
    <col min="9583" max="9583" width="18.140625" style="191" bestFit="1" customWidth="1"/>
    <col min="9584" max="9585" width="15.42578125" style="191" bestFit="1" customWidth="1"/>
    <col min="9586" max="9586" width="9.7109375" style="191" bestFit="1" customWidth="1"/>
    <col min="9587" max="9587" width="15.85546875" style="191" bestFit="1" customWidth="1"/>
    <col min="9588" max="9592" width="14" style="191" customWidth="1"/>
    <col min="9593" max="9593" width="18.42578125" style="191" bestFit="1" customWidth="1"/>
    <col min="9594" max="9594" width="15.140625" style="191" bestFit="1" customWidth="1"/>
    <col min="9595" max="9595" width="15" style="191" bestFit="1" customWidth="1"/>
    <col min="9596" max="9596" width="18.140625" style="191" bestFit="1" customWidth="1"/>
    <col min="9597" max="9597" width="8.7109375" style="191" bestFit="1" customWidth="1"/>
    <col min="9598" max="9598" width="18.42578125" style="191" bestFit="1" customWidth="1"/>
    <col min="9599" max="9599" width="14.85546875" style="191" bestFit="1" customWidth="1"/>
    <col min="9600" max="9600" width="14.140625" style="191" bestFit="1" customWidth="1"/>
    <col min="9601" max="9601" width="13.42578125" style="191" bestFit="1" customWidth="1"/>
    <col min="9602" max="9602" width="8.7109375" style="191" bestFit="1" customWidth="1"/>
    <col min="9603" max="9603" width="15.42578125" style="191" bestFit="1" customWidth="1"/>
    <col min="9604" max="9604" width="12.85546875" style="191" bestFit="1" customWidth="1"/>
    <col min="9605" max="9605" width="15.42578125" style="191" bestFit="1" customWidth="1"/>
    <col min="9606" max="9606" width="19.85546875" style="191" bestFit="1" customWidth="1"/>
    <col min="9607" max="9607" width="10.5703125" style="191" bestFit="1" customWidth="1"/>
    <col min="9608" max="9608" width="19.85546875" style="191" bestFit="1" customWidth="1"/>
    <col min="9609" max="9609" width="15.28515625" style="191" bestFit="1" customWidth="1"/>
    <col min="9610" max="9610" width="15.85546875" style="191" bestFit="1" customWidth="1"/>
    <col min="9611" max="9611" width="17.42578125" style="191" bestFit="1" customWidth="1"/>
    <col min="9612" max="9612" width="14" style="191" bestFit="1" customWidth="1"/>
    <col min="9613" max="9619" width="14" style="191" customWidth="1"/>
    <col min="9620" max="9620" width="17.42578125" style="191" bestFit="1" customWidth="1"/>
    <col min="9621" max="9621" width="14" style="191" customWidth="1"/>
    <col min="9622" max="9622" width="9.5703125" style="191" bestFit="1" customWidth="1"/>
    <col min="9623" max="9623" width="15.5703125" style="191" bestFit="1" customWidth="1"/>
    <col min="9624" max="9624" width="16.5703125" style="191" bestFit="1" customWidth="1"/>
    <col min="9625" max="9625" width="14" style="191" customWidth="1"/>
    <col min="9626" max="9626" width="9.5703125" style="191" bestFit="1" customWidth="1"/>
    <col min="9627" max="9627" width="15.5703125" style="191" bestFit="1" customWidth="1"/>
    <col min="9628" max="9628" width="16.5703125" style="191" bestFit="1" customWidth="1"/>
    <col min="9629" max="9629" width="14.140625" style="191" bestFit="1" customWidth="1"/>
    <col min="9630" max="9634" width="14" style="191" customWidth="1"/>
    <col min="9635" max="9750" width="9.140625" style="191"/>
    <col min="9751" max="9751" width="0.140625" style="191" customWidth="1"/>
    <col min="9752" max="9752" width="17.140625" style="191" customWidth="1"/>
    <col min="9753" max="9753" width="8.5703125" style="191" customWidth="1"/>
    <col min="9754" max="9762" width="0" style="191" hidden="1" customWidth="1"/>
    <col min="9763" max="9763" width="5.140625" style="191" customWidth="1"/>
    <col min="9764" max="9764" width="0" style="191" hidden="1" customWidth="1"/>
    <col min="9765" max="9765" width="4.140625" style="191" customWidth="1"/>
    <col min="9766" max="9766" width="1.7109375" style="191" customWidth="1"/>
    <col min="9767" max="9767" width="5.28515625" style="191" customWidth="1"/>
    <col min="9768" max="9768" width="12.85546875" style="191" bestFit="1" customWidth="1"/>
    <col min="9769" max="9769" width="12.85546875" style="191" customWidth="1"/>
    <col min="9770" max="9773" width="9.140625" style="191"/>
    <col min="9774" max="9774" width="27.85546875" style="191" bestFit="1" customWidth="1"/>
    <col min="9775" max="9776" width="12.7109375" style="191" customWidth="1"/>
    <col min="9777" max="9777" width="9.140625" style="191"/>
    <col min="9778" max="9778" width="17" style="191" bestFit="1" customWidth="1"/>
    <col min="9779" max="9780" width="9.140625" style="191"/>
    <col min="9781" max="9781" width="14" style="191" bestFit="1" customWidth="1"/>
    <col min="9782" max="9782" width="12" style="191" bestFit="1" customWidth="1"/>
    <col min="9783" max="9783" width="12.5703125" style="191" bestFit="1" customWidth="1"/>
    <col min="9784" max="9784" width="14" style="191" bestFit="1" customWidth="1"/>
    <col min="9785" max="9785" width="19" style="191" bestFit="1" customWidth="1"/>
    <col min="9786" max="9786" width="15.7109375" style="191" bestFit="1" customWidth="1"/>
    <col min="9787" max="9787" width="22.28515625" style="191" bestFit="1" customWidth="1"/>
    <col min="9788" max="9788" width="10.5703125" style="191" bestFit="1" customWidth="1"/>
    <col min="9789" max="9789" width="14" style="191" bestFit="1" customWidth="1"/>
    <col min="9790" max="9790" width="14.85546875" style="191" bestFit="1" customWidth="1"/>
    <col min="9791" max="9791" width="11.28515625" style="191" bestFit="1" customWidth="1"/>
    <col min="9792" max="9792" width="14.7109375" style="191" bestFit="1" customWidth="1"/>
    <col min="9793" max="9793" width="11.5703125" style="191" bestFit="1" customWidth="1"/>
    <col min="9794" max="9794" width="18" style="191" bestFit="1" customWidth="1"/>
    <col min="9795" max="9795" width="7.42578125" style="191" bestFit="1" customWidth="1"/>
    <col min="9796" max="9796" width="14" style="191" bestFit="1" customWidth="1"/>
    <col min="9797" max="9801" width="14" style="191" customWidth="1"/>
    <col min="9802" max="9802" width="13.7109375" style="191" bestFit="1" customWidth="1"/>
    <col min="9803" max="9803" width="12.140625" style="191" bestFit="1" customWidth="1"/>
    <col min="9804" max="9804" width="10.5703125" style="191" bestFit="1" customWidth="1"/>
    <col min="9805" max="9806" width="18" style="191" bestFit="1" customWidth="1"/>
    <col min="9807" max="9807" width="8.7109375" style="191" bestFit="1" customWidth="1"/>
    <col min="9808" max="9808" width="14.5703125" style="191" bestFit="1" customWidth="1"/>
    <col min="9809" max="9809" width="15.140625" style="191" bestFit="1" customWidth="1"/>
    <col min="9810" max="9810" width="14.42578125" style="191" bestFit="1" customWidth="1"/>
    <col min="9811" max="9811" width="18.140625" style="191" bestFit="1" customWidth="1"/>
    <col min="9812" max="9812" width="11.28515625" style="191" bestFit="1" customWidth="1"/>
    <col min="9813" max="9813" width="18.85546875" style="191" bestFit="1" customWidth="1"/>
    <col min="9814" max="9814" width="15.5703125" style="191" bestFit="1" customWidth="1"/>
    <col min="9815" max="9815" width="20.42578125" style="191" bestFit="1" customWidth="1"/>
    <col min="9816" max="9816" width="11.42578125" style="191" bestFit="1" customWidth="1"/>
    <col min="9817" max="9817" width="19.42578125" style="191" bestFit="1" customWidth="1"/>
    <col min="9818" max="9818" width="16.28515625" style="191" bestFit="1" customWidth="1"/>
    <col min="9819" max="9819" width="11.42578125" style="191" bestFit="1" customWidth="1"/>
    <col min="9820" max="9820" width="7.5703125" style="191" bestFit="1" customWidth="1"/>
    <col min="9821" max="9821" width="18" style="191" bestFit="1" customWidth="1"/>
    <col min="9822" max="9822" width="14.5703125" style="191" bestFit="1" customWidth="1"/>
    <col min="9823" max="9823" width="14.42578125" style="191" bestFit="1" customWidth="1"/>
    <col min="9824" max="9824" width="12.85546875" style="191" bestFit="1" customWidth="1"/>
    <col min="9825" max="9825" width="8.140625" style="191" bestFit="1" customWidth="1"/>
    <col min="9826" max="9826" width="7.7109375" style="191" bestFit="1" customWidth="1"/>
    <col min="9827" max="9827" width="18.85546875" style="191" bestFit="1" customWidth="1"/>
    <col min="9828" max="9828" width="13.7109375" style="191" bestFit="1" customWidth="1"/>
    <col min="9829" max="9829" width="7.5703125" style="191" bestFit="1" customWidth="1"/>
    <col min="9830" max="9830" width="10.85546875" style="191" bestFit="1" customWidth="1"/>
    <col min="9831" max="9831" width="12.85546875" style="191" bestFit="1" customWidth="1"/>
    <col min="9832" max="9836" width="14" style="191" customWidth="1"/>
    <col min="9837" max="9837" width="15.42578125" style="191" bestFit="1" customWidth="1"/>
    <col min="9838" max="9838" width="13.140625" style="191" bestFit="1" customWidth="1"/>
    <col min="9839" max="9839" width="18.140625" style="191" bestFit="1" customWidth="1"/>
    <col min="9840" max="9841" width="15.42578125" style="191" bestFit="1" customWidth="1"/>
    <col min="9842" max="9842" width="9.7109375" style="191" bestFit="1" customWidth="1"/>
    <col min="9843" max="9843" width="15.85546875" style="191" bestFit="1" customWidth="1"/>
    <col min="9844" max="9848" width="14" style="191" customWidth="1"/>
    <col min="9849" max="9849" width="18.42578125" style="191" bestFit="1" customWidth="1"/>
    <col min="9850" max="9850" width="15.140625" style="191" bestFit="1" customWidth="1"/>
    <col min="9851" max="9851" width="15" style="191" bestFit="1" customWidth="1"/>
    <col min="9852" max="9852" width="18.140625" style="191" bestFit="1" customWidth="1"/>
    <col min="9853" max="9853" width="8.7109375" style="191" bestFit="1" customWidth="1"/>
    <col min="9854" max="9854" width="18.42578125" style="191" bestFit="1" customWidth="1"/>
    <col min="9855" max="9855" width="14.85546875" style="191" bestFit="1" customWidth="1"/>
    <col min="9856" max="9856" width="14.140625" style="191" bestFit="1" customWidth="1"/>
    <col min="9857" max="9857" width="13.42578125" style="191" bestFit="1" customWidth="1"/>
    <col min="9858" max="9858" width="8.7109375" style="191" bestFit="1" customWidth="1"/>
    <col min="9859" max="9859" width="15.42578125" style="191" bestFit="1" customWidth="1"/>
    <col min="9860" max="9860" width="12.85546875" style="191" bestFit="1" customWidth="1"/>
    <col min="9861" max="9861" width="15.42578125" style="191" bestFit="1" customWidth="1"/>
    <col min="9862" max="9862" width="19.85546875" style="191" bestFit="1" customWidth="1"/>
    <col min="9863" max="9863" width="10.5703125" style="191" bestFit="1" customWidth="1"/>
    <col min="9864" max="9864" width="19.85546875" style="191" bestFit="1" customWidth="1"/>
    <col min="9865" max="9865" width="15.28515625" style="191" bestFit="1" customWidth="1"/>
    <col min="9866" max="9866" width="15.85546875" style="191" bestFit="1" customWidth="1"/>
    <col min="9867" max="9867" width="17.42578125" style="191" bestFit="1" customWidth="1"/>
    <col min="9868" max="9868" width="14" style="191" bestFit="1" customWidth="1"/>
    <col min="9869" max="9875" width="14" style="191" customWidth="1"/>
    <col min="9876" max="9876" width="17.42578125" style="191" bestFit="1" customWidth="1"/>
    <col min="9877" max="9877" width="14" style="191" customWidth="1"/>
    <col min="9878" max="9878" width="9.5703125" style="191" bestFit="1" customWidth="1"/>
    <col min="9879" max="9879" width="15.5703125" style="191" bestFit="1" customWidth="1"/>
    <col min="9880" max="9880" width="16.5703125" style="191" bestFit="1" customWidth="1"/>
    <col min="9881" max="9881" width="14" style="191" customWidth="1"/>
    <col min="9882" max="9882" width="9.5703125" style="191" bestFit="1" customWidth="1"/>
    <col min="9883" max="9883" width="15.5703125" style="191" bestFit="1" customWidth="1"/>
    <col min="9884" max="9884" width="16.5703125" style="191" bestFit="1" customWidth="1"/>
    <col min="9885" max="9885" width="14.140625" style="191" bestFit="1" customWidth="1"/>
    <col min="9886" max="9890" width="14" style="191" customWidth="1"/>
    <col min="9891" max="10006" width="9.140625" style="191"/>
    <col min="10007" max="10007" width="0.140625" style="191" customWidth="1"/>
    <col min="10008" max="10008" width="17.140625" style="191" customWidth="1"/>
    <col min="10009" max="10009" width="8.5703125" style="191" customWidth="1"/>
    <col min="10010" max="10018" width="0" style="191" hidden="1" customWidth="1"/>
    <col min="10019" max="10019" width="5.140625" style="191" customWidth="1"/>
    <col min="10020" max="10020" width="0" style="191" hidden="1" customWidth="1"/>
    <col min="10021" max="10021" width="4.140625" style="191" customWidth="1"/>
    <col min="10022" max="10022" width="1.7109375" style="191" customWidth="1"/>
    <col min="10023" max="10023" width="5.28515625" style="191" customWidth="1"/>
    <col min="10024" max="10024" width="12.85546875" style="191" bestFit="1" customWidth="1"/>
    <col min="10025" max="10025" width="12.85546875" style="191" customWidth="1"/>
    <col min="10026" max="10029" width="9.140625" style="191"/>
    <col min="10030" max="10030" width="27.85546875" style="191" bestFit="1" customWidth="1"/>
    <col min="10031" max="10032" width="12.7109375" style="191" customWidth="1"/>
    <col min="10033" max="10033" width="9.140625" style="191"/>
    <col min="10034" max="10034" width="17" style="191" bestFit="1" customWidth="1"/>
    <col min="10035" max="10036" width="9.140625" style="191"/>
    <col min="10037" max="10037" width="14" style="191" bestFit="1" customWidth="1"/>
    <col min="10038" max="10038" width="12" style="191" bestFit="1" customWidth="1"/>
    <col min="10039" max="10039" width="12.5703125" style="191" bestFit="1" customWidth="1"/>
    <col min="10040" max="10040" width="14" style="191" bestFit="1" customWidth="1"/>
    <col min="10041" max="10041" width="19" style="191" bestFit="1" customWidth="1"/>
    <col min="10042" max="10042" width="15.7109375" style="191" bestFit="1" customWidth="1"/>
    <col min="10043" max="10043" width="22.28515625" style="191" bestFit="1" customWidth="1"/>
    <col min="10044" max="10044" width="10.5703125" style="191" bestFit="1" customWidth="1"/>
    <col min="10045" max="10045" width="14" style="191" bestFit="1" customWidth="1"/>
    <col min="10046" max="10046" width="14.85546875" style="191" bestFit="1" customWidth="1"/>
    <col min="10047" max="10047" width="11.28515625" style="191" bestFit="1" customWidth="1"/>
    <col min="10048" max="10048" width="14.7109375" style="191" bestFit="1" customWidth="1"/>
    <col min="10049" max="10049" width="11.5703125" style="191" bestFit="1" customWidth="1"/>
    <col min="10050" max="10050" width="18" style="191" bestFit="1" customWidth="1"/>
    <col min="10051" max="10051" width="7.42578125" style="191" bestFit="1" customWidth="1"/>
    <col min="10052" max="10052" width="14" style="191" bestFit="1" customWidth="1"/>
    <col min="10053" max="10057" width="14" style="191" customWidth="1"/>
    <col min="10058" max="10058" width="13.7109375" style="191" bestFit="1" customWidth="1"/>
    <col min="10059" max="10059" width="12.140625" style="191" bestFit="1" customWidth="1"/>
    <col min="10060" max="10060" width="10.5703125" style="191" bestFit="1" customWidth="1"/>
    <col min="10061" max="10062" width="18" style="191" bestFit="1" customWidth="1"/>
    <col min="10063" max="10063" width="8.7109375" style="191" bestFit="1" customWidth="1"/>
    <col min="10064" max="10064" width="14.5703125" style="191" bestFit="1" customWidth="1"/>
    <col min="10065" max="10065" width="15.140625" style="191" bestFit="1" customWidth="1"/>
    <col min="10066" max="10066" width="14.42578125" style="191" bestFit="1" customWidth="1"/>
    <col min="10067" max="10067" width="18.140625" style="191" bestFit="1" customWidth="1"/>
    <col min="10068" max="10068" width="11.28515625" style="191" bestFit="1" customWidth="1"/>
    <col min="10069" max="10069" width="18.85546875" style="191" bestFit="1" customWidth="1"/>
    <col min="10070" max="10070" width="15.5703125" style="191" bestFit="1" customWidth="1"/>
    <col min="10071" max="10071" width="20.42578125" style="191" bestFit="1" customWidth="1"/>
    <col min="10072" max="10072" width="11.42578125" style="191" bestFit="1" customWidth="1"/>
    <col min="10073" max="10073" width="19.42578125" style="191" bestFit="1" customWidth="1"/>
    <col min="10074" max="10074" width="16.28515625" style="191" bestFit="1" customWidth="1"/>
    <col min="10075" max="10075" width="11.42578125" style="191" bestFit="1" customWidth="1"/>
    <col min="10076" max="10076" width="7.5703125" style="191" bestFit="1" customWidth="1"/>
    <col min="10077" max="10077" width="18" style="191" bestFit="1" customWidth="1"/>
    <col min="10078" max="10078" width="14.5703125" style="191" bestFit="1" customWidth="1"/>
    <col min="10079" max="10079" width="14.42578125" style="191" bestFit="1" customWidth="1"/>
    <col min="10080" max="10080" width="12.85546875" style="191" bestFit="1" customWidth="1"/>
    <col min="10081" max="10081" width="8.140625" style="191" bestFit="1" customWidth="1"/>
    <col min="10082" max="10082" width="7.7109375" style="191" bestFit="1" customWidth="1"/>
    <col min="10083" max="10083" width="18.85546875" style="191" bestFit="1" customWidth="1"/>
    <col min="10084" max="10084" width="13.7109375" style="191" bestFit="1" customWidth="1"/>
    <col min="10085" max="10085" width="7.5703125" style="191" bestFit="1" customWidth="1"/>
    <col min="10086" max="10086" width="10.85546875" style="191" bestFit="1" customWidth="1"/>
    <col min="10087" max="10087" width="12.85546875" style="191" bestFit="1" customWidth="1"/>
    <col min="10088" max="10092" width="14" style="191" customWidth="1"/>
    <col min="10093" max="10093" width="15.42578125" style="191" bestFit="1" customWidth="1"/>
    <col min="10094" max="10094" width="13.140625" style="191" bestFit="1" customWidth="1"/>
    <col min="10095" max="10095" width="18.140625" style="191" bestFit="1" customWidth="1"/>
    <col min="10096" max="10097" width="15.42578125" style="191" bestFit="1" customWidth="1"/>
    <col min="10098" max="10098" width="9.7109375" style="191" bestFit="1" customWidth="1"/>
    <col min="10099" max="10099" width="15.85546875" style="191" bestFit="1" customWidth="1"/>
    <col min="10100" max="10104" width="14" style="191" customWidth="1"/>
    <col min="10105" max="10105" width="18.42578125" style="191" bestFit="1" customWidth="1"/>
    <col min="10106" max="10106" width="15.140625" style="191" bestFit="1" customWidth="1"/>
    <col min="10107" max="10107" width="15" style="191" bestFit="1" customWidth="1"/>
    <col min="10108" max="10108" width="18.140625" style="191" bestFit="1" customWidth="1"/>
    <col min="10109" max="10109" width="8.7109375" style="191" bestFit="1" customWidth="1"/>
    <col min="10110" max="10110" width="18.42578125" style="191" bestFit="1" customWidth="1"/>
    <col min="10111" max="10111" width="14.85546875" style="191" bestFit="1" customWidth="1"/>
    <col min="10112" max="10112" width="14.140625" style="191" bestFit="1" customWidth="1"/>
    <col min="10113" max="10113" width="13.42578125" style="191" bestFit="1" customWidth="1"/>
    <col min="10114" max="10114" width="8.7109375" style="191" bestFit="1" customWidth="1"/>
    <col min="10115" max="10115" width="15.42578125" style="191" bestFit="1" customWidth="1"/>
    <col min="10116" max="10116" width="12.85546875" style="191" bestFit="1" customWidth="1"/>
    <col min="10117" max="10117" width="15.42578125" style="191" bestFit="1" customWidth="1"/>
    <col min="10118" max="10118" width="19.85546875" style="191" bestFit="1" customWidth="1"/>
    <col min="10119" max="10119" width="10.5703125" style="191" bestFit="1" customWidth="1"/>
    <col min="10120" max="10120" width="19.85546875" style="191" bestFit="1" customWidth="1"/>
    <col min="10121" max="10121" width="15.28515625" style="191" bestFit="1" customWidth="1"/>
    <col min="10122" max="10122" width="15.85546875" style="191" bestFit="1" customWidth="1"/>
    <col min="10123" max="10123" width="17.42578125" style="191" bestFit="1" customWidth="1"/>
    <col min="10124" max="10124" width="14" style="191" bestFit="1" customWidth="1"/>
    <col min="10125" max="10131" width="14" style="191" customWidth="1"/>
    <col min="10132" max="10132" width="17.42578125" style="191" bestFit="1" customWidth="1"/>
    <col min="10133" max="10133" width="14" style="191" customWidth="1"/>
    <col min="10134" max="10134" width="9.5703125" style="191" bestFit="1" customWidth="1"/>
    <col min="10135" max="10135" width="15.5703125" style="191" bestFit="1" customWidth="1"/>
    <col min="10136" max="10136" width="16.5703125" style="191" bestFit="1" customWidth="1"/>
    <col min="10137" max="10137" width="14" style="191" customWidth="1"/>
    <col min="10138" max="10138" width="9.5703125" style="191" bestFit="1" customWidth="1"/>
    <col min="10139" max="10139" width="15.5703125" style="191" bestFit="1" customWidth="1"/>
    <col min="10140" max="10140" width="16.5703125" style="191" bestFit="1" customWidth="1"/>
    <col min="10141" max="10141" width="14.140625" style="191" bestFit="1" customWidth="1"/>
    <col min="10142" max="10146" width="14" style="191" customWidth="1"/>
    <col min="10147" max="10262" width="9.140625" style="191"/>
    <col min="10263" max="10263" width="0.140625" style="191" customWidth="1"/>
    <col min="10264" max="10264" width="17.140625" style="191" customWidth="1"/>
    <col min="10265" max="10265" width="8.5703125" style="191" customWidth="1"/>
    <col min="10266" max="10274" width="0" style="191" hidden="1" customWidth="1"/>
    <col min="10275" max="10275" width="5.140625" style="191" customWidth="1"/>
    <col min="10276" max="10276" width="0" style="191" hidden="1" customWidth="1"/>
    <col min="10277" max="10277" width="4.140625" style="191" customWidth="1"/>
    <col min="10278" max="10278" width="1.7109375" style="191" customWidth="1"/>
    <col min="10279" max="10279" width="5.28515625" style="191" customWidth="1"/>
    <col min="10280" max="10280" width="12.85546875" style="191" bestFit="1" customWidth="1"/>
    <col min="10281" max="10281" width="12.85546875" style="191" customWidth="1"/>
    <col min="10282" max="10285" width="9.140625" style="191"/>
    <col min="10286" max="10286" width="27.85546875" style="191" bestFit="1" customWidth="1"/>
    <col min="10287" max="10288" width="12.7109375" style="191" customWidth="1"/>
    <col min="10289" max="10289" width="9.140625" style="191"/>
    <col min="10290" max="10290" width="17" style="191" bestFit="1" customWidth="1"/>
    <col min="10291" max="10292" width="9.140625" style="191"/>
    <col min="10293" max="10293" width="14" style="191" bestFit="1" customWidth="1"/>
    <col min="10294" max="10294" width="12" style="191" bestFit="1" customWidth="1"/>
    <col min="10295" max="10295" width="12.5703125" style="191" bestFit="1" customWidth="1"/>
    <col min="10296" max="10296" width="14" style="191" bestFit="1" customWidth="1"/>
    <col min="10297" max="10297" width="19" style="191" bestFit="1" customWidth="1"/>
    <col min="10298" max="10298" width="15.7109375" style="191" bestFit="1" customWidth="1"/>
    <col min="10299" max="10299" width="22.28515625" style="191" bestFit="1" customWidth="1"/>
    <col min="10300" max="10300" width="10.5703125" style="191" bestFit="1" customWidth="1"/>
    <col min="10301" max="10301" width="14" style="191" bestFit="1" customWidth="1"/>
    <col min="10302" max="10302" width="14.85546875" style="191" bestFit="1" customWidth="1"/>
    <col min="10303" max="10303" width="11.28515625" style="191" bestFit="1" customWidth="1"/>
    <col min="10304" max="10304" width="14.7109375" style="191" bestFit="1" customWidth="1"/>
    <col min="10305" max="10305" width="11.5703125" style="191" bestFit="1" customWidth="1"/>
    <col min="10306" max="10306" width="18" style="191" bestFit="1" customWidth="1"/>
    <col min="10307" max="10307" width="7.42578125" style="191" bestFit="1" customWidth="1"/>
    <col min="10308" max="10308" width="14" style="191" bestFit="1" customWidth="1"/>
    <col min="10309" max="10313" width="14" style="191" customWidth="1"/>
    <col min="10314" max="10314" width="13.7109375" style="191" bestFit="1" customWidth="1"/>
    <col min="10315" max="10315" width="12.140625" style="191" bestFit="1" customWidth="1"/>
    <col min="10316" max="10316" width="10.5703125" style="191" bestFit="1" customWidth="1"/>
    <col min="10317" max="10318" width="18" style="191" bestFit="1" customWidth="1"/>
    <col min="10319" max="10319" width="8.7109375" style="191" bestFit="1" customWidth="1"/>
    <col min="10320" max="10320" width="14.5703125" style="191" bestFit="1" customWidth="1"/>
    <col min="10321" max="10321" width="15.140625" style="191" bestFit="1" customWidth="1"/>
    <col min="10322" max="10322" width="14.42578125" style="191" bestFit="1" customWidth="1"/>
    <col min="10323" max="10323" width="18.140625" style="191" bestFit="1" customWidth="1"/>
    <col min="10324" max="10324" width="11.28515625" style="191" bestFit="1" customWidth="1"/>
    <col min="10325" max="10325" width="18.85546875" style="191" bestFit="1" customWidth="1"/>
    <col min="10326" max="10326" width="15.5703125" style="191" bestFit="1" customWidth="1"/>
    <col min="10327" max="10327" width="20.42578125" style="191" bestFit="1" customWidth="1"/>
    <col min="10328" max="10328" width="11.42578125" style="191" bestFit="1" customWidth="1"/>
    <col min="10329" max="10329" width="19.42578125" style="191" bestFit="1" customWidth="1"/>
    <col min="10330" max="10330" width="16.28515625" style="191" bestFit="1" customWidth="1"/>
    <col min="10331" max="10331" width="11.42578125" style="191" bestFit="1" customWidth="1"/>
    <col min="10332" max="10332" width="7.5703125" style="191" bestFit="1" customWidth="1"/>
    <col min="10333" max="10333" width="18" style="191" bestFit="1" customWidth="1"/>
    <col min="10334" max="10334" width="14.5703125" style="191" bestFit="1" customWidth="1"/>
    <col min="10335" max="10335" width="14.42578125" style="191" bestFit="1" customWidth="1"/>
    <col min="10336" max="10336" width="12.85546875" style="191" bestFit="1" customWidth="1"/>
    <col min="10337" max="10337" width="8.140625" style="191" bestFit="1" customWidth="1"/>
    <col min="10338" max="10338" width="7.7109375" style="191" bestFit="1" customWidth="1"/>
    <col min="10339" max="10339" width="18.85546875" style="191" bestFit="1" customWidth="1"/>
    <col min="10340" max="10340" width="13.7109375" style="191" bestFit="1" customWidth="1"/>
    <col min="10341" max="10341" width="7.5703125" style="191" bestFit="1" customWidth="1"/>
    <col min="10342" max="10342" width="10.85546875" style="191" bestFit="1" customWidth="1"/>
    <col min="10343" max="10343" width="12.85546875" style="191" bestFit="1" customWidth="1"/>
    <col min="10344" max="10348" width="14" style="191" customWidth="1"/>
    <col min="10349" max="10349" width="15.42578125" style="191" bestFit="1" customWidth="1"/>
    <col min="10350" max="10350" width="13.140625" style="191" bestFit="1" customWidth="1"/>
    <col min="10351" max="10351" width="18.140625" style="191" bestFit="1" customWidth="1"/>
    <col min="10352" max="10353" width="15.42578125" style="191" bestFit="1" customWidth="1"/>
    <col min="10354" max="10354" width="9.7109375" style="191" bestFit="1" customWidth="1"/>
    <col min="10355" max="10355" width="15.85546875" style="191" bestFit="1" customWidth="1"/>
    <col min="10356" max="10360" width="14" style="191" customWidth="1"/>
    <col min="10361" max="10361" width="18.42578125" style="191" bestFit="1" customWidth="1"/>
    <col min="10362" max="10362" width="15.140625" style="191" bestFit="1" customWidth="1"/>
    <col min="10363" max="10363" width="15" style="191" bestFit="1" customWidth="1"/>
    <col min="10364" max="10364" width="18.140625" style="191" bestFit="1" customWidth="1"/>
    <col min="10365" max="10365" width="8.7109375" style="191" bestFit="1" customWidth="1"/>
    <col min="10366" max="10366" width="18.42578125" style="191" bestFit="1" customWidth="1"/>
    <col min="10367" max="10367" width="14.85546875" style="191" bestFit="1" customWidth="1"/>
    <col min="10368" max="10368" width="14.140625" style="191" bestFit="1" customWidth="1"/>
    <col min="10369" max="10369" width="13.42578125" style="191" bestFit="1" customWidth="1"/>
    <col min="10370" max="10370" width="8.7109375" style="191" bestFit="1" customWidth="1"/>
    <col min="10371" max="10371" width="15.42578125" style="191" bestFit="1" customWidth="1"/>
    <col min="10372" max="10372" width="12.85546875" style="191" bestFit="1" customWidth="1"/>
    <col min="10373" max="10373" width="15.42578125" style="191" bestFit="1" customWidth="1"/>
    <col min="10374" max="10374" width="19.85546875" style="191" bestFit="1" customWidth="1"/>
    <col min="10375" max="10375" width="10.5703125" style="191" bestFit="1" customWidth="1"/>
    <col min="10376" max="10376" width="19.85546875" style="191" bestFit="1" customWidth="1"/>
    <col min="10377" max="10377" width="15.28515625" style="191" bestFit="1" customWidth="1"/>
    <col min="10378" max="10378" width="15.85546875" style="191" bestFit="1" customWidth="1"/>
    <col min="10379" max="10379" width="17.42578125" style="191" bestFit="1" customWidth="1"/>
    <col min="10380" max="10380" width="14" style="191" bestFit="1" customWidth="1"/>
    <col min="10381" max="10387" width="14" style="191" customWidth="1"/>
    <col min="10388" max="10388" width="17.42578125" style="191" bestFit="1" customWidth="1"/>
    <col min="10389" max="10389" width="14" style="191" customWidth="1"/>
    <col min="10390" max="10390" width="9.5703125" style="191" bestFit="1" customWidth="1"/>
    <col min="10391" max="10391" width="15.5703125" style="191" bestFit="1" customWidth="1"/>
    <col min="10392" max="10392" width="16.5703125" style="191" bestFit="1" customWidth="1"/>
    <col min="10393" max="10393" width="14" style="191" customWidth="1"/>
    <col min="10394" max="10394" width="9.5703125" style="191" bestFit="1" customWidth="1"/>
    <col min="10395" max="10395" width="15.5703125" style="191" bestFit="1" customWidth="1"/>
    <col min="10396" max="10396" width="16.5703125" style="191" bestFit="1" customWidth="1"/>
    <col min="10397" max="10397" width="14.140625" style="191" bestFit="1" customWidth="1"/>
    <col min="10398" max="10402" width="14" style="191" customWidth="1"/>
    <col min="10403" max="10518" width="9.140625" style="191"/>
    <col min="10519" max="10519" width="0.140625" style="191" customWidth="1"/>
    <col min="10520" max="10520" width="17.140625" style="191" customWidth="1"/>
    <col min="10521" max="10521" width="8.5703125" style="191" customWidth="1"/>
    <col min="10522" max="10530" width="0" style="191" hidden="1" customWidth="1"/>
    <col min="10531" max="10531" width="5.140625" style="191" customWidth="1"/>
    <col min="10532" max="10532" width="0" style="191" hidden="1" customWidth="1"/>
    <col min="10533" max="10533" width="4.140625" style="191" customWidth="1"/>
    <col min="10534" max="10534" width="1.7109375" style="191" customWidth="1"/>
    <col min="10535" max="10535" width="5.28515625" style="191" customWidth="1"/>
    <col min="10536" max="10536" width="12.85546875" style="191" bestFit="1" customWidth="1"/>
    <col min="10537" max="10537" width="12.85546875" style="191" customWidth="1"/>
    <col min="10538" max="10541" width="9.140625" style="191"/>
    <col min="10542" max="10542" width="27.85546875" style="191" bestFit="1" customWidth="1"/>
    <col min="10543" max="10544" width="12.7109375" style="191" customWidth="1"/>
    <col min="10545" max="10545" width="9.140625" style="191"/>
    <col min="10546" max="10546" width="17" style="191" bestFit="1" customWidth="1"/>
    <col min="10547" max="10548" width="9.140625" style="191"/>
    <col min="10549" max="10549" width="14" style="191" bestFit="1" customWidth="1"/>
    <col min="10550" max="10550" width="12" style="191" bestFit="1" customWidth="1"/>
    <col min="10551" max="10551" width="12.5703125" style="191" bestFit="1" customWidth="1"/>
    <col min="10552" max="10552" width="14" style="191" bestFit="1" customWidth="1"/>
    <col min="10553" max="10553" width="19" style="191" bestFit="1" customWidth="1"/>
    <col min="10554" max="10554" width="15.7109375" style="191" bestFit="1" customWidth="1"/>
    <col min="10555" max="10555" width="22.28515625" style="191" bestFit="1" customWidth="1"/>
    <col min="10556" max="10556" width="10.5703125" style="191" bestFit="1" customWidth="1"/>
    <col min="10557" max="10557" width="14" style="191" bestFit="1" customWidth="1"/>
    <col min="10558" max="10558" width="14.85546875" style="191" bestFit="1" customWidth="1"/>
    <col min="10559" max="10559" width="11.28515625" style="191" bestFit="1" customWidth="1"/>
    <col min="10560" max="10560" width="14.7109375" style="191" bestFit="1" customWidth="1"/>
    <col min="10561" max="10561" width="11.5703125" style="191" bestFit="1" customWidth="1"/>
    <col min="10562" max="10562" width="18" style="191" bestFit="1" customWidth="1"/>
    <col min="10563" max="10563" width="7.42578125" style="191" bestFit="1" customWidth="1"/>
    <col min="10564" max="10564" width="14" style="191" bestFit="1" customWidth="1"/>
    <col min="10565" max="10569" width="14" style="191" customWidth="1"/>
    <col min="10570" max="10570" width="13.7109375" style="191" bestFit="1" customWidth="1"/>
    <col min="10571" max="10571" width="12.140625" style="191" bestFit="1" customWidth="1"/>
    <col min="10572" max="10572" width="10.5703125" style="191" bestFit="1" customWidth="1"/>
    <col min="10573" max="10574" width="18" style="191" bestFit="1" customWidth="1"/>
    <col min="10575" max="10575" width="8.7109375" style="191" bestFit="1" customWidth="1"/>
    <col min="10576" max="10576" width="14.5703125" style="191" bestFit="1" customWidth="1"/>
    <col min="10577" max="10577" width="15.140625" style="191" bestFit="1" customWidth="1"/>
    <col min="10578" max="10578" width="14.42578125" style="191" bestFit="1" customWidth="1"/>
    <col min="10579" max="10579" width="18.140625" style="191" bestFit="1" customWidth="1"/>
    <col min="10580" max="10580" width="11.28515625" style="191" bestFit="1" customWidth="1"/>
    <col min="10581" max="10581" width="18.85546875" style="191" bestFit="1" customWidth="1"/>
    <col min="10582" max="10582" width="15.5703125" style="191" bestFit="1" customWidth="1"/>
    <col min="10583" max="10583" width="20.42578125" style="191" bestFit="1" customWidth="1"/>
    <col min="10584" max="10584" width="11.42578125" style="191" bestFit="1" customWidth="1"/>
    <col min="10585" max="10585" width="19.42578125" style="191" bestFit="1" customWidth="1"/>
    <col min="10586" max="10586" width="16.28515625" style="191" bestFit="1" customWidth="1"/>
    <col min="10587" max="10587" width="11.42578125" style="191" bestFit="1" customWidth="1"/>
    <col min="10588" max="10588" width="7.5703125" style="191" bestFit="1" customWidth="1"/>
    <col min="10589" max="10589" width="18" style="191" bestFit="1" customWidth="1"/>
    <col min="10590" max="10590" width="14.5703125" style="191" bestFit="1" customWidth="1"/>
    <col min="10591" max="10591" width="14.42578125" style="191" bestFit="1" customWidth="1"/>
    <col min="10592" max="10592" width="12.85546875" style="191" bestFit="1" customWidth="1"/>
    <col min="10593" max="10593" width="8.140625" style="191" bestFit="1" customWidth="1"/>
    <col min="10594" max="10594" width="7.7109375" style="191" bestFit="1" customWidth="1"/>
    <col min="10595" max="10595" width="18.85546875" style="191" bestFit="1" customWidth="1"/>
    <col min="10596" max="10596" width="13.7109375" style="191" bestFit="1" customWidth="1"/>
    <col min="10597" max="10597" width="7.5703125" style="191" bestFit="1" customWidth="1"/>
    <col min="10598" max="10598" width="10.85546875" style="191" bestFit="1" customWidth="1"/>
    <col min="10599" max="10599" width="12.85546875" style="191" bestFit="1" customWidth="1"/>
    <col min="10600" max="10604" width="14" style="191" customWidth="1"/>
    <col min="10605" max="10605" width="15.42578125" style="191" bestFit="1" customWidth="1"/>
    <col min="10606" max="10606" width="13.140625" style="191" bestFit="1" customWidth="1"/>
    <col min="10607" max="10607" width="18.140625" style="191" bestFit="1" customWidth="1"/>
    <col min="10608" max="10609" width="15.42578125" style="191" bestFit="1" customWidth="1"/>
    <col min="10610" max="10610" width="9.7109375" style="191" bestFit="1" customWidth="1"/>
    <col min="10611" max="10611" width="15.85546875" style="191" bestFit="1" customWidth="1"/>
    <col min="10612" max="10616" width="14" style="191" customWidth="1"/>
    <col min="10617" max="10617" width="18.42578125" style="191" bestFit="1" customWidth="1"/>
    <col min="10618" max="10618" width="15.140625" style="191" bestFit="1" customWidth="1"/>
    <col min="10619" max="10619" width="15" style="191" bestFit="1" customWidth="1"/>
    <col min="10620" max="10620" width="18.140625" style="191" bestFit="1" customWidth="1"/>
    <col min="10621" max="10621" width="8.7109375" style="191" bestFit="1" customWidth="1"/>
    <col min="10622" max="10622" width="18.42578125" style="191" bestFit="1" customWidth="1"/>
    <col min="10623" max="10623" width="14.85546875" style="191" bestFit="1" customWidth="1"/>
    <col min="10624" max="10624" width="14.140625" style="191" bestFit="1" customWidth="1"/>
    <col min="10625" max="10625" width="13.42578125" style="191" bestFit="1" customWidth="1"/>
    <col min="10626" max="10626" width="8.7109375" style="191" bestFit="1" customWidth="1"/>
    <col min="10627" max="10627" width="15.42578125" style="191" bestFit="1" customWidth="1"/>
    <col min="10628" max="10628" width="12.85546875" style="191" bestFit="1" customWidth="1"/>
    <col min="10629" max="10629" width="15.42578125" style="191" bestFit="1" customWidth="1"/>
    <col min="10630" max="10630" width="19.85546875" style="191" bestFit="1" customWidth="1"/>
    <col min="10631" max="10631" width="10.5703125" style="191" bestFit="1" customWidth="1"/>
    <col min="10632" max="10632" width="19.85546875" style="191" bestFit="1" customWidth="1"/>
    <col min="10633" max="10633" width="15.28515625" style="191" bestFit="1" customWidth="1"/>
    <col min="10634" max="10634" width="15.85546875" style="191" bestFit="1" customWidth="1"/>
    <col min="10635" max="10635" width="17.42578125" style="191" bestFit="1" customWidth="1"/>
    <col min="10636" max="10636" width="14" style="191" bestFit="1" customWidth="1"/>
    <col min="10637" max="10643" width="14" style="191" customWidth="1"/>
    <col min="10644" max="10644" width="17.42578125" style="191" bestFit="1" customWidth="1"/>
    <col min="10645" max="10645" width="14" style="191" customWidth="1"/>
    <col min="10646" max="10646" width="9.5703125" style="191" bestFit="1" customWidth="1"/>
    <col min="10647" max="10647" width="15.5703125" style="191" bestFit="1" customWidth="1"/>
    <col min="10648" max="10648" width="16.5703125" style="191" bestFit="1" customWidth="1"/>
    <col min="10649" max="10649" width="14" style="191" customWidth="1"/>
    <col min="10650" max="10650" width="9.5703125" style="191" bestFit="1" customWidth="1"/>
    <col min="10651" max="10651" width="15.5703125" style="191" bestFit="1" customWidth="1"/>
    <col min="10652" max="10652" width="16.5703125" style="191" bestFit="1" customWidth="1"/>
    <col min="10653" max="10653" width="14.140625" style="191" bestFit="1" customWidth="1"/>
    <col min="10654" max="10658" width="14" style="191" customWidth="1"/>
    <col min="10659" max="10774" width="9.140625" style="191"/>
    <col min="10775" max="10775" width="0.140625" style="191" customWidth="1"/>
    <col min="10776" max="10776" width="17.140625" style="191" customWidth="1"/>
    <col min="10777" max="10777" width="8.5703125" style="191" customWidth="1"/>
    <col min="10778" max="10786" width="0" style="191" hidden="1" customWidth="1"/>
    <col min="10787" max="10787" width="5.140625" style="191" customWidth="1"/>
    <col min="10788" max="10788" width="0" style="191" hidden="1" customWidth="1"/>
    <col min="10789" max="10789" width="4.140625" style="191" customWidth="1"/>
    <col min="10790" max="10790" width="1.7109375" style="191" customWidth="1"/>
    <col min="10791" max="10791" width="5.28515625" style="191" customWidth="1"/>
    <col min="10792" max="10792" width="12.85546875" style="191" bestFit="1" customWidth="1"/>
    <col min="10793" max="10793" width="12.85546875" style="191" customWidth="1"/>
    <col min="10794" max="10797" width="9.140625" style="191"/>
    <col min="10798" max="10798" width="27.85546875" style="191" bestFit="1" customWidth="1"/>
    <col min="10799" max="10800" width="12.7109375" style="191" customWidth="1"/>
    <col min="10801" max="10801" width="9.140625" style="191"/>
    <col min="10802" max="10802" width="17" style="191" bestFit="1" customWidth="1"/>
    <col min="10803" max="10804" width="9.140625" style="191"/>
    <col min="10805" max="10805" width="14" style="191" bestFit="1" customWidth="1"/>
    <col min="10806" max="10806" width="12" style="191" bestFit="1" customWidth="1"/>
    <col min="10807" max="10807" width="12.5703125" style="191" bestFit="1" customWidth="1"/>
    <col min="10808" max="10808" width="14" style="191" bestFit="1" customWidth="1"/>
    <col min="10809" max="10809" width="19" style="191" bestFit="1" customWidth="1"/>
    <col min="10810" max="10810" width="15.7109375" style="191" bestFit="1" customWidth="1"/>
    <col min="10811" max="10811" width="22.28515625" style="191" bestFit="1" customWidth="1"/>
    <col min="10812" max="10812" width="10.5703125" style="191" bestFit="1" customWidth="1"/>
    <col min="10813" max="10813" width="14" style="191" bestFit="1" customWidth="1"/>
    <col min="10814" max="10814" width="14.85546875" style="191" bestFit="1" customWidth="1"/>
    <col min="10815" max="10815" width="11.28515625" style="191" bestFit="1" customWidth="1"/>
    <col min="10816" max="10816" width="14.7109375" style="191" bestFit="1" customWidth="1"/>
    <col min="10817" max="10817" width="11.5703125" style="191" bestFit="1" customWidth="1"/>
    <col min="10818" max="10818" width="18" style="191" bestFit="1" customWidth="1"/>
    <col min="10819" max="10819" width="7.42578125" style="191" bestFit="1" customWidth="1"/>
    <col min="10820" max="10820" width="14" style="191" bestFit="1" customWidth="1"/>
    <col min="10821" max="10825" width="14" style="191" customWidth="1"/>
    <col min="10826" max="10826" width="13.7109375" style="191" bestFit="1" customWidth="1"/>
    <col min="10827" max="10827" width="12.140625" style="191" bestFit="1" customWidth="1"/>
    <col min="10828" max="10828" width="10.5703125" style="191" bestFit="1" customWidth="1"/>
    <col min="10829" max="10830" width="18" style="191" bestFit="1" customWidth="1"/>
    <col min="10831" max="10831" width="8.7109375" style="191" bestFit="1" customWidth="1"/>
    <col min="10832" max="10832" width="14.5703125" style="191" bestFit="1" customWidth="1"/>
    <col min="10833" max="10833" width="15.140625" style="191" bestFit="1" customWidth="1"/>
    <col min="10834" max="10834" width="14.42578125" style="191" bestFit="1" customWidth="1"/>
    <col min="10835" max="10835" width="18.140625" style="191" bestFit="1" customWidth="1"/>
    <col min="10836" max="10836" width="11.28515625" style="191" bestFit="1" customWidth="1"/>
    <col min="10837" max="10837" width="18.85546875" style="191" bestFit="1" customWidth="1"/>
    <col min="10838" max="10838" width="15.5703125" style="191" bestFit="1" customWidth="1"/>
    <col min="10839" max="10839" width="20.42578125" style="191" bestFit="1" customWidth="1"/>
    <col min="10840" max="10840" width="11.42578125" style="191" bestFit="1" customWidth="1"/>
    <col min="10841" max="10841" width="19.42578125" style="191" bestFit="1" customWidth="1"/>
    <col min="10842" max="10842" width="16.28515625" style="191" bestFit="1" customWidth="1"/>
    <col min="10843" max="10843" width="11.42578125" style="191" bestFit="1" customWidth="1"/>
    <col min="10844" max="10844" width="7.5703125" style="191" bestFit="1" customWidth="1"/>
    <col min="10845" max="10845" width="18" style="191" bestFit="1" customWidth="1"/>
    <col min="10846" max="10846" width="14.5703125" style="191" bestFit="1" customWidth="1"/>
    <col min="10847" max="10847" width="14.42578125" style="191" bestFit="1" customWidth="1"/>
    <col min="10848" max="10848" width="12.85546875" style="191" bestFit="1" customWidth="1"/>
    <col min="10849" max="10849" width="8.140625" style="191" bestFit="1" customWidth="1"/>
    <col min="10850" max="10850" width="7.7109375" style="191" bestFit="1" customWidth="1"/>
    <col min="10851" max="10851" width="18.85546875" style="191" bestFit="1" customWidth="1"/>
    <col min="10852" max="10852" width="13.7109375" style="191" bestFit="1" customWidth="1"/>
    <col min="10853" max="10853" width="7.5703125" style="191" bestFit="1" customWidth="1"/>
    <col min="10854" max="10854" width="10.85546875" style="191" bestFit="1" customWidth="1"/>
    <col min="10855" max="10855" width="12.85546875" style="191" bestFit="1" customWidth="1"/>
    <col min="10856" max="10860" width="14" style="191" customWidth="1"/>
    <col min="10861" max="10861" width="15.42578125" style="191" bestFit="1" customWidth="1"/>
    <col min="10862" max="10862" width="13.140625" style="191" bestFit="1" customWidth="1"/>
    <col min="10863" max="10863" width="18.140625" style="191" bestFit="1" customWidth="1"/>
    <col min="10864" max="10865" width="15.42578125" style="191" bestFit="1" customWidth="1"/>
    <col min="10866" max="10866" width="9.7109375" style="191" bestFit="1" customWidth="1"/>
    <col min="10867" max="10867" width="15.85546875" style="191" bestFit="1" customWidth="1"/>
    <col min="10868" max="10872" width="14" style="191" customWidth="1"/>
    <col min="10873" max="10873" width="18.42578125" style="191" bestFit="1" customWidth="1"/>
    <col min="10874" max="10874" width="15.140625" style="191" bestFit="1" customWidth="1"/>
    <col min="10875" max="10875" width="15" style="191" bestFit="1" customWidth="1"/>
    <col min="10876" max="10876" width="18.140625" style="191" bestFit="1" customWidth="1"/>
    <col min="10877" max="10877" width="8.7109375" style="191" bestFit="1" customWidth="1"/>
    <col min="10878" max="10878" width="18.42578125" style="191" bestFit="1" customWidth="1"/>
    <col min="10879" max="10879" width="14.85546875" style="191" bestFit="1" customWidth="1"/>
    <col min="10880" max="10880" width="14.140625" style="191" bestFit="1" customWidth="1"/>
    <col min="10881" max="10881" width="13.42578125" style="191" bestFit="1" customWidth="1"/>
    <col min="10882" max="10882" width="8.7109375" style="191" bestFit="1" customWidth="1"/>
    <col min="10883" max="10883" width="15.42578125" style="191" bestFit="1" customWidth="1"/>
    <col min="10884" max="10884" width="12.85546875" style="191" bestFit="1" customWidth="1"/>
    <col min="10885" max="10885" width="15.42578125" style="191" bestFit="1" customWidth="1"/>
    <col min="10886" max="10886" width="19.85546875" style="191" bestFit="1" customWidth="1"/>
    <col min="10887" max="10887" width="10.5703125" style="191" bestFit="1" customWidth="1"/>
    <col min="10888" max="10888" width="19.85546875" style="191" bestFit="1" customWidth="1"/>
    <col min="10889" max="10889" width="15.28515625" style="191" bestFit="1" customWidth="1"/>
    <col min="10890" max="10890" width="15.85546875" style="191" bestFit="1" customWidth="1"/>
    <col min="10891" max="10891" width="17.42578125" style="191" bestFit="1" customWidth="1"/>
    <col min="10892" max="10892" width="14" style="191" bestFit="1" customWidth="1"/>
    <col min="10893" max="10899" width="14" style="191" customWidth="1"/>
    <col min="10900" max="10900" width="17.42578125" style="191" bestFit="1" customWidth="1"/>
    <col min="10901" max="10901" width="14" style="191" customWidth="1"/>
    <col min="10902" max="10902" width="9.5703125" style="191" bestFit="1" customWidth="1"/>
    <col min="10903" max="10903" width="15.5703125" style="191" bestFit="1" customWidth="1"/>
    <col min="10904" max="10904" width="16.5703125" style="191" bestFit="1" customWidth="1"/>
    <col min="10905" max="10905" width="14" style="191" customWidth="1"/>
    <col min="10906" max="10906" width="9.5703125" style="191" bestFit="1" customWidth="1"/>
    <col min="10907" max="10907" width="15.5703125" style="191" bestFit="1" customWidth="1"/>
    <col min="10908" max="10908" width="16.5703125" style="191" bestFit="1" customWidth="1"/>
    <col min="10909" max="10909" width="14.140625" style="191" bestFit="1" customWidth="1"/>
    <col min="10910" max="10914" width="14" style="191" customWidth="1"/>
    <col min="10915" max="11030" width="9.140625" style="191"/>
    <col min="11031" max="11031" width="0.140625" style="191" customWidth="1"/>
    <col min="11032" max="11032" width="17.140625" style="191" customWidth="1"/>
    <col min="11033" max="11033" width="8.5703125" style="191" customWidth="1"/>
    <col min="11034" max="11042" width="0" style="191" hidden="1" customWidth="1"/>
    <col min="11043" max="11043" width="5.140625" style="191" customWidth="1"/>
    <col min="11044" max="11044" width="0" style="191" hidden="1" customWidth="1"/>
    <col min="11045" max="11045" width="4.140625" style="191" customWidth="1"/>
    <col min="11046" max="11046" width="1.7109375" style="191" customWidth="1"/>
    <col min="11047" max="11047" width="5.28515625" style="191" customWidth="1"/>
    <col min="11048" max="11048" width="12.85546875" style="191" bestFit="1" customWidth="1"/>
    <col min="11049" max="11049" width="12.85546875" style="191" customWidth="1"/>
    <col min="11050" max="11053" width="9.140625" style="191"/>
    <col min="11054" max="11054" width="27.85546875" style="191" bestFit="1" customWidth="1"/>
    <col min="11055" max="11056" width="12.7109375" style="191" customWidth="1"/>
    <col min="11057" max="11057" width="9.140625" style="191"/>
    <col min="11058" max="11058" width="17" style="191" bestFit="1" customWidth="1"/>
    <col min="11059" max="11060" width="9.140625" style="191"/>
    <col min="11061" max="11061" width="14" style="191" bestFit="1" customWidth="1"/>
    <col min="11062" max="11062" width="12" style="191" bestFit="1" customWidth="1"/>
    <col min="11063" max="11063" width="12.5703125" style="191" bestFit="1" customWidth="1"/>
    <col min="11064" max="11064" width="14" style="191" bestFit="1" customWidth="1"/>
    <col min="11065" max="11065" width="19" style="191" bestFit="1" customWidth="1"/>
    <col min="11066" max="11066" width="15.7109375" style="191" bestFit="1" customWidth="1"/>
    <col min="11067" max="11067" width="22.28515625" style="191" bestFit="1" customWidth="1"/>
    <col min="11068" max="11068" width="10.5703125" style="191" bestFit="1" customWidth="1"/>
    <col min="11069" max="11069" width="14" style="191" bestFit="1" customWidth="1"/>
    <col min="11070" max="11070" width="14.85546875" style="191" bestFit="1" customWidth="1"/>
    <col min="11071" max="11071" width="11.28515625" style="191" bestFit="1" customWidth="1"/>
    <col min="11072" max="11072" width="14.7109375" style="191" bestFit="1" customWidth="1"/>
    <col min="11073" max="11073" width="11.5703125" style="191" bestFit="1" customWidth="1"/>
    <col min="11074" max="11074" width="18" style="191" bestFit="1" customWidth="1"/>
    <col min="11075" max="11075" width="7.42578125" style="191" bestFit="1" customWidth="1"/>
    <col min="11076" max="11076" width="14" style="191" bestFit="1" customWidth="1"/>
    <col min="11077" max="11081" width="14" style="191" customWidth="1"/>
    <col min="11082" max="11082" width="13.7109375" style="191" bestFit="1" customWidth="1"/>
    <col min="11083" max="11083" width="12.140625" style="191" bestFit="1" customWidth="1"/>
    <col min="11084" max="11084" width="10.5703125" style="191" bestFit="1" customWidth="1"/>
    <col min="11085" max="11086" width="18" style="191" bestFit="1" customWidth="1"/>
    <col min="11087" max="11087" width="8.7109375" style="191" bestFit="1" customWidth="1"/>
    <col min="11088" max="11088" width="14.5703125" style="191" bestFit="1" customWidth="1"/>
    <col min="11089" max="11089" width="15.140625" style="191" bestFit="1" customWidth="1"/>
    <col min="11090" max="11090" width="14.42578125" style="191" bestFit="1" customWidth="1"/>
    <col min="11091" max="11091" width="18.140625" style="191" bestFit="1" customWidth="1"/>
    <col min="11092" max="11092" width="11.28515625" style="191" bestFit="1" customWidth="1"/>
    <col min="11093" max="11093" width="18.85546875" style="191" bestFit="1" customWidth="1"/>
    <col min="11094" max="11094" width="15.5703125" style="191" bestFit="1" customWidth="1"/>
    <col min="11095" max="11095" width="20.42578125" style="191" bestFit="1" customWidth="1"/>
    <col min="11096" max="11096" width="11.42578125" style="191" bestFit="1" customWidth="1"/>
    <col min="11097" max="11097" width="19.42578125" style="191" bestFit="1" customWidth="1"/>
    <col min="11098" max="11098" width="16.28515625" style="191" bestFit="1" customWidth="1"/>
    <col min="11099" max="11099" width="11.42578125" style="191" bestFit="1" customWidth="1"/>
    <col min="11100" max="11100" width="7.5703125" style="191" bestFit="1" customWidth="1"/>
    <col min="11101" max="11101" width="18" style="191" bestFit="1" customWidth="1"/>
    <col min="11102" max="11102" width="14.5703125" style="191" bestFit="1" customWidth="1"/>
    <col min="11103" max="11103" width="14.42578125" style="191" bestFit="1" customWidth="1"/>
    <col min="11104" max="11104" width="12.85546875" style="191" bestFit="1" customWidth="1"/>
    <col min="11105" max="11105" width="8.140625" style="191" bestFit="1" customWidth="1"/>
    <col min="11106" max="11106" width="7.7109375" style="191" bestFit="1" customWidth="1"/>
    <col min="11107" max="11107" width="18.85546875" style="191" bestFit="1" customWidth="1"/>
    <col min="11108" max="11108" width="13.7109375" style="191" bestFit="1" customWidth="1"/>
    <col min="11109" max="11109" width="7.5703125" style="191" bestFit="1" customWidth="1"/>
    <col min="11110" max="11110" width="10.85546875" style="191" bestFit="1" customWidth="1"/>
    <col min="11111" max="11111" width="12.85546875" style="191" bestFit="1" customWidth="1"/>
    <col min="11112" max="11116" width="14" style="191" customWidth="1"/>
    <col min="11117" max="11117" width="15.42578125" style="191" bestFit="1" customWidth="1"/>
    <col min="11118" max="11118" width="13.140625" style="191" bestFit="1" customWidth="1"/>
    <col min="11119" max="11119" width="18.140625" style="191" bestFit="1" customWidth="1"/>
    <col min="11120" max="11121" width="15.42578125" style="191" bestFit="1" customWidth="1"/>
    <col min="11122" max="11122" width="9.7109375" style="191" bestFit="1" customWidth="1"/>
    <col min="11123" max="11123" width="15.85546875" style="191" bestFit="1" customWidth="1"/>
    <col min="11124" max="11128" width="14" style="191" customWidth="1"/>
    <col min="11129" max="11129" width="18.42578125" style="191" bestFit="1" customWidth="1"/>
    <col min="11130" max="11130" width="15.140625" style="191" bestFit="1" customWidth="1"/>
    <col min="11131" max="11131" width="15" style="191" bestFit="1" customWidth="1"/>
    <col min="11132" max="11132" width="18.140625" style="191" bestFit="1" customWidth="1"/>
    <col min="11133" max="11133" width="8.7109375" style="191" bestFit="1" customWidth="1"/>
    <col min="11134" max="11134" width="18.42578125" style="191" bestFit="1" customWidth="1"/>
    <col min="11135" max="11135" width="14.85546875" style="191" bestFit="1" customWidth="1"/>
    <col min="11136" max="11136" width="14.140625" style="191" bestFit="1" customWidth="1"/>
    <col min="11137" max="11137" width="13.42578125" style="191" bestFit="1" customWidth="1"/>
    <col min="11138" max="11138" width="8.7109375" style="191" bestFit="1" customWidth="1"/>
    <col min="11139" max="11139" width="15.42578125" style="191" bestFit="1" customWidth="1"/>
    <col min="11140" max="11140" width="12.85546875" style="191" bestFit="1" customWidth="1"/>
    <col min="11141" max="11141" width="15.42578125" style="191" bestFit="1" customWidth="1"/>
    <col min="11142" max="11142" width="19.85546875" style="191" bestFit="1" customWidth="1"/>
    <col min="11143" max="11143" width="10.5703125" style="191" bestFit="1" customWidth="1"/>
    <col min="11144" max="11144" width="19.85546875" style="191" bestFit="1" customWidth="1"/>
    <col min="11145" max="11145" width="15.28515625" style="191" bestFit="1" customWidth="1"/>
    <col min="11146" max="11146" width="15.85546875" style="191" bestFit="1" customWidth="1"/>
    <col min="11147" max="11147" width="17.42578125" style="191" bestFit="1" customWidth="1"/>
    <col min="11148" max="11148" width="14" style="191" bestFit="1" customWidth="1"/>
    <col min="11149" max="11155" width="14" style="191" customWidth="1"/>
    <col min="11156" max="11156" width="17.42578125" style="191" bestFit="1" customWidth="1"/>
    <col min="11157" max="11157" width="14" style="191" customWidth="1"/>
    <col min="11158" max="11158" width="9.5703125" style="191" bestFit="1" customWidth="1"/>
    <col min="11159" max="11159" width="15.5703125" style="191" bestFit="1" customWidth="1"/>
    <col min="11160" max="11160" width="16.5703125" style="191" bestFit="1" customWidth="1"/>
    <col min="11161" max="11161" width="14" style="191" customWidth="1"/>
    <col min="11162" max="11162" width="9.5703125" style="191" bestFit="1" customWidth="1"/>
    <col min="11163" max="11163" width="15.5703125" style="191" bestFit="1" customWidth="1"/>
    <col min="11164" max="11164" width="16.5703125" style="191" bestFit="1" customWidth="1"/>
    <col min="11165" max="11165" width="14.140625" style="191" bestFit="1" customWidth="1"/>
    <col min="11166" max="11170" width="14" style="191" customWidth="1"/>
    <col min="11171" max="11286" width="9.140625" style="191"/>
    <col min="11287" max="11287" width="0.140625" style="191" customWidth="1"/>
    <col min="11288" max="11288" width="17.140625" style="191" customWidth="1"/>
    <col min="11289" max="11289" width="8.5703125" style="191" customWidth="1"/>
    <col min="11290" max="11298" width="0" style="191" hidden="1" customWidth="1"/>
    <col min="11299" max="11299" width="5.140625" style="191" customWidth="1"/>
    <col min="11300" max="11300" width="0" style="191" hidden="1" customWidth="1"/>
    <col min="11301" max="11301" width="4.140625" style="191" customWidth="1"/>
    <col min="11302" max="11302" width="1.7109375" style="191" customWidth="1"/>
    <col min="11303" max="11303" width="5.28515625" style="191" customWidth="1"/>
    <col min="11304" max="11304" width="12.85546875" style="191" bestFit="1" customWidth="1"/>
    <col min="11305" max="11305" width="12.85546875" style="191" customWidth="1"/>
    <col min="11306" max="11309" width="9.140625" style="191"/>
    <col min="11310" max="11310" width="27.85546875" style="191" bestFit="1" customWidth="1"/>
    <col min="11311" max="11312" width="12.7109375" style="191" customWidth="1"/>
    <col min="11313" max="11313" width="9.140625" style="191"/>
    <col min="11314" max="11314" width="17" style="191" bestFit="1" customWidth="1"/>
    <col min="11315" max="11316" width="9.140625" style="191"/>
    <col min="11317" max="11317" width="14" style="191" bestFit="1" customWidth="1"/>
    <col min="11318" max="11318" width="12" style="191" bestFit="1" customWidth="1"/>
    <col min="11319" max="11319" width="12.5703125" style="191" bestFit="1" customWidth="1"/>
    <col min="11320" max="11320" width="14" style="191" bestFit="1" customWidth="1"/>
    <col min="11321" max="11321" width="19" style="191" bestFit="1" customWidth="1"/>
    <col min="11322" max="11322" width="15.7109375" style="191" bestFit="1" customWidth="1"/>
    <col min="11323" max="11323" width="22.28515625" style="191" bestFit="1" customWidth="1"/>
    <col min="11324" max="11324" width="10.5703125" style="191" bestFit="1" customWidth="1"/>
    <col min="11325" max="11325" width="14" style="191" bestFit="1" customWidth="1"/>
    <col min="11326" max="11326" width="14.85546875" style="191" bestFit="1" customWidth="1"/>
    <col min="11327" max="11327" width="11.28515625" style="191" bestFit="1" customWidth="1"/>
    <col min="11328" max="11328" width="14.7109375" style="191" bestFit="1" customWidth="1"/>
    <col min="11329" max="11329" width="11.5703125" style="191" bestFit="1" customWidth="1"/>
    <col min="11330" max="11330" width="18" style="191" bestFit="1" customWidth="1"/>
    <col min="11331" max="11331" width="7.42578125" style="191" bestFit="1" customWidth="1"/>
    <col min="11332" max="11332" width="14" style="191" bestFit="1" customWidth="1"/>
    <col min="11333" max="11337" width="14" style="191" customWidth="1"/>
    <col min="11338" max="11338" width="13.7109375" style="191" bestFit="1" customWidth="1"/>
    <col min="11339" max="11339" width="12.140625" style="191" bestFit="1" customWidth="1"/>
    <col min="11340" max="11340" width="10.5703125" style="191" bestFit="1" customWidth="1"/>
    <col min="11341" max="11342" width="18" style="191" bestFit="1" customWidth="1"/>
    <col min="11343" max="11343" width="8.7109375" style="191" bestFit="1" customWidth="1"/>
    <col min="11344" max="11344" width="14.5703125" style="191" bestFit="1" customWidth="1"/>
    <col min="11345" max="11345" width="15.140625" style="191" bestFit="1" customWidth="1"/>
    <col min="11346" max="11346" width="14.42578125" style="191" bestFit="1" customWidth="1"/>
    <col min="11347" max="11347" width="18.140625" style="191" bestFit="1" customWidth="1"/>
    <col min="11348" max="11348" width="11.28515625" style="191" bestFit="1" customWidth="1"/>
    <col min="11349" max="11349" width="18.85546875" style="191" bestFit="1" customWidth="1"/>
    <col min="11350" max="11350" width="15.5703125" style="191" bestFit="1" customWidth="1"/>
    <col min="11351" max="11351" width="20.42578125" style="191" bestFit="1" customWidth="1"/>
    <col min="11352" max="11352" width="11.42578125" style="191" bestFit="1" customWidth="1"/>
    <col min="11353" max="11353" width="19.42578125" style="191" bestFit="1" customWidth="1"/>
    <col min="11354" max="11354" width="16.28515625" style="191" bestFit="1" customWidth="1"/>
    <col min="11355" max="11355" width="11.42578125" style="191" bestFit="1" customWidth="1"/>
    <col min="11356" max="11356" width="7.5703125" style="191" bestFit="1" customWidth="1"/>
    <col min="11357" max="11357" width="18" style="191" bestFit="1" customWidth="1"/>
    <col min="11358" max="11358" width="14.5703125" style="191" bestFit="1" customWidth="1"/>
    <col min="11359" max="11359" width="14.42578125" style="191" bestFit="1" customWidth="1"/>
    <col min="11360" max="11360" width="12.85546875" style="191" bestFit="1" customWidth="1"/>
    <col min="11361" max="11361" width="8.140625" style="191" bestFit="1" customWidth="1"/>
    <col min="11362" max="11362" width="7.7109375" style="191" bestFit="1" customWidth="1"/>
    <col min="11363" max="11363" width="18.85546875" style="191" bestFit="1" customWidth="1"/>
    <col min="11364" max="11364" width="13.7109375" style="191" bestFit="1" customWidth="1"/>
    <col min="11365" max="11365" width="7.5703125" style="191" bestFit="1" customWidth="1"/>
    <col min="11366" max="11366" width="10.85546875" style="191" bestFit="1" customWidth="1"/>
    <col min="11367" max="11367" width="12.85546875" style="191" bestFit="1" customWidth="1"/>
    <col min="11368" max="11372" width="14" style="191" customWidth="1"/>
    <col min="11373" max="11373" width="15.42578125" style="191" bestFit="1" customWidth="1"/>
    <col min="11374" max="11374" width="13.140625" style="191" bestFit="1" customWidth="1"/>
    <col min="11375" max="11375" width="18.140625" style="191" bestFit="1" customWidth="1"/>
    <col min="11376" max="11377" width="15.42578125" style="191" bestFit="1" customWidth="1"/>
    <col min="11378" max="11378" width="9.7109375" style="191" bestFit="1" customWidth="1"/>
    <col min="11379" max="11379" width="15.85546875" style="191" bestFit="1" customWidth="1"/>
    <col min="11380" max="11384" width="14" style="191" customWidth="1"/>
    <col min="11385" max="11385" width="18.42578125" style="191" bestFit="1" customWidth="1"/>
    <col min="11386" max="11386" width="15.140625" style="191" bestFit="1" customWidth="1"/>
    <col min="11387" max="11387" width="15" style="191" bestFit="1" customWidth="1"/>
    <col min="11388" max="11388" width="18.140625" style="191" bestFit="1" customWidth="1"/>
    <col min="11389" max="11389" width="8.7109375" style="191" bestFit="1" customWidth="1"/>
    <col min="11390" max="11390" width="18.42578125" style="191" bestFit="1" customWidth="1"/>
    <col min="11391" max="11391" width="14.85546875" style="191" bestFit="1" customWidth="1"/>
    <col min="11392" max="11392" width="14.140625" style="191" bestFit="1" customWidth="1"/>
    <col min="11393" max="11393" width="13.42578125" style="191" bestFit="1" customWidth="1"/>
    <col min="11394" max="11394" width="8.7109375" style="191" bestFit="1" customWidth="1"/>
    <col min="11395" max="11395" width="15.42578125" style="191" bestFit="1" customWidth="1"/>
    <col min="11396" max="11396" width="12.85546875" style="191" bestFit="1" customWidth="1"/>
    <col min="11397" max="11397" width="15.42578125" style="191" bestFit="1" customWidth="1"/>
    <col min="11398" max="11398" width="19.85546875" style="191" bestFit="1" customWidth="1"/>
    <col min="11399" max="11399" width="10.5703125" style="191" bestFit="1" customWidth="1"/>
    <col min="11400" max="11400" width="19.85546875" style="191" bestFit="1" customWidth="1"/>
    <col min="11401" max="11401" width="15.28515625" style="191" bestFit="1" customWidth="1"/>
    <col min="11402" max="11402" width="15.85546875" style="191" bestFit="1" customWidth="1"/>
    <col min="11403" max="11403" width="17.42578125" style="191" bestFit="1" customWidth="1"/>
    <col min="11404" max="11404" width="14" style="191" bestFit="1" customWidth="1"/>
    <col min="11405" max="11411" width="14" style="191" customWidth="1"/>
    <col min="11412" max="11412" width="17.42578125" style="191" bestFit="1" customWidth="1"/>
    <col min="11413" max="11413" width="14" style="191" customWidth="1"/>
    <col min="11414" max="11414" width="9.5703125" style="191" bestFit="1" customWidth="1"/>
    <col min="11415" max="11415" width="15.5703125" style="191" bestFit="1" customWidth="1"/>
    <col min="11416" max="11416" width="16.5703125" style="191" bestFit="1" customWidth="1"/>
    <col min="11417" max="11417" width="14" style="191" customWidth="1"/>
    <col min="11418" max="11418" width="9.5703125" style="191" bestFit="1" customWidth="1"/>
    <col min="11419" max="11419" width="15.5703125" style="191" bestFit="1" customWidth="1"/>
    <col min="11420" max="11420" width="16.5703125" style="191" bestFit="1" customWidth="1"/>
    <col min="11421" max="11421" width="14.140625" style="191" bestFit="1" customWidth="1"/>
    <col min="11422" max="11426" width="14" style="191" customWidth="1"/>
    <col min="11427" max="11542" width="9.140625" style="191"/>
    <col min="11543" max="11543" width="0.140625" style="191" customWidth="1"/>
    <col min="11544" max="11544" width="17.140625" style="191" customWidth="1"/>
    <col min="11545" max="11545" width="8.5703125" style="191" customWidth="1"/>
    <col min="11546" max="11554" width="0" style="191" hidden="1" customWidth="1"/>
    <col min="11555" max="11555" width="5.140625" style="191" customWidth="1"/>
    <col min="11556" max="11556" width="0" style="191" hidden="1" customWidth="1"/>
    <col min="11557" max="11557" width="4.140625" style="191" customWidth="1"/>
    <col min="11558" max="11558" width="1.7109375" style="191" customWidth="1"/>
    <col min="11559" max="11559" width="5.28515625" style="191" customWidth="1"/>
    <col min="11560" max="11560" width="12.85546875" style="191" bestFit="1" customWidth="1"/>
    <col min="11561" max="11561" width="12.85546875" style="191" customWidth="1"/>
    <col min="11562" max="11565" width="9.140625" style="191"/>
    <col min="11566" max="11566" width="27.85546875" style="191" bestFit="1" customWidth="1"/>
    <col min="11567" max="11568" width="12.7109375" style="191" customWidth="1"/>
    <col min="11569" max="11569" width="9.140625" style="191"/>
    <col min="11570" max="11570" width="17" style="191" bestFit="1" customWidth="1"/>
    <col min="11571" max="11572" width="9.140625" style="191"/>
    <col min="11573" max="11573" width="14" style="191" bestFit="1" customWidth="1"/>
    <col min="11574" max="11574" width="12" style="191" bestFit="1" customWidth="1"/>
    <col min="11575" max="11575" width="12.5703125" style="191" bestFit="1" customWidth="1"/>
    <col min="11576" max="11576" width="14" style="191" bestFit="1" customWidth="1"/>
    <col min="11577" max="11577" width="19" style="191" bestFit="1" customWidth="1"/>
    <col min="11578" max="11578" width="15.7109375" style="191" bestFit="1" customWidth="1"/>
    <col min="11579" max="11579" width="22.28515625" style="191" bestFit="1" customWidth="1"/>
    <col min="11580" max="11580" width="10.5703125" style="191" bestFit="1" customWidth="1"/>
    <col min="11581" max="11581" width="14" style="191" bestFit="1" customWidth="1"/>
    <col min="11582" max="11582" width="14.85546875" style="191" bestFit="1" customWidth="1"/>
    <col min="11583" max="11583" width="11.28515625" style="191" bestFit="1" customWidth="1"/>
    <col min="11584" max="11584" width="14.7109375" style="191" bestFit="1" customWidth="1"/>
    <col min="11585" max="11585" width="11.5703125" style="191" bestFit="1" customWidth="1"/>
    <col min="11586" max="11586" width="18" style="191" bestFit="1" customWidth="1"/>
    <col min="11587" max="11587" width="7.42578125" style="191" bestFit="1" customWidth="1"/>
    <col min="11588" max="11588" width="14" style="191" bestFit="1" customWidth="1"/>
    <col min="11589" max="11593" width="14" style="191" customWidth="1"/>
    <col min="11594" max="11594" width="13.7109375" style="191" bestFit="1" customWidth="1"/>
    <col min="11595" max="11595" width="12.140625" style="191" bestFit="1" customWidth="1"/>
    <col min="11596" max="11596" width="10.5703125" style="191" bestFit="1" customWidth="1"/>
    <col min="11597" max="11598" width="18" style="191" bestFit="1" customWidth="1"/>
    <col min="11599" max="11599" width="8.7109375" style="191" bestFit="1" customWidth="1"/>
    <col min="11600" max="11600" width="14.5703125" style="191" bestFit="1" customWidth="1"/>
    <col min="11601" max="11601" width="15.140625" style="191" bestFit="1" customWidth="1"/>
    <col min="11602" max="11602" width="14.42578125" style="191" bestFit="1" customWidth="1"/>
    <col min="11603" max="11603" width="18.140625" style="191" bestFit="1" customWidth="1"/>
    <col min="11604" max="11604" width="11.28515625" style="191" bestFit="1" customWidth="1"/>
    <col min="11605" max="11605" width="18.85546875" style="191" bestFit="1" customWidth="1"/>
    <col min="11606" max="11606" width="15.5703125" style="191" bestFit="1" customWidth="1"/>
    <col min="11607" max="11607" width="20.42578125" style="191" bestFit="1" customWidth="1"/>
    <col min="11608" max="11608" width="11.42578125" style="191" bestFit="1" customWidth="1"/>
    <col min="11609" max="11609" width="19.42578125" style="191" bestFit="1" customWidth="1"/>
    <col min="11610" max="11610" width="16.28515625" style="191" bestFit="1" customWidth="1"/>
    <col min="11611" max="11611" width="11.42578125" style="191" bestFit="1" customWidth="1"/>
    <col min="11612" max="11612" width="7.5703125" style="191" bestFit="1" customWidth="1"/>
    <col min="11613" max="11613" width="18" style="191" bestFit="1" customWidth="1"/>
    <col min="11614" max="11614" width="14.5703125" style="191" bestFit="1" customWidth="1"/>
    <col min="11615" max="11615" width="14.42578125" style="191" bestFit="1" customWidth="1"/>
    <col min="11616" max="11616" width="12.85546875" style="191" bestFit="1" customWidth="1"/>
    <col min="11617" max="11617" width="8.140625" style="191" bestFit="1" customWidth="1"/>
    <col min="11618" max="11618" width="7.7109375" style="191" bestFit="1" customWidth="1"/>
    <col min="11619" max="11619" width="18.85546875" style="191" bestFit="1" customWidth="1"/>
    <col min="11620" max="11620" width="13.7109375" style="191" bestFit="1" customWidth="1"/>
    <col min="11621" max="11621" width="7.5703125" style="191" bestFit="1" customWidth="1"/>
    <col min="11622" max="11622" width="10.85546875" style="191" bestFit="1" customWidth="1"/>
    <col min="11623" max="11623" width="12.85546875" style="191" bestFit="1" customWidth="1"/>
    <col min="11624" max="11628" width="14" style="191" customWidth="1"/>
    <col min="11629" max="11629" width="15.42578125" style="191" bestFit="1" customWidth="1"/>
    <col min="11630" max="11630" width="13.140625" style="191" bestFit="1" customWidth="1"/>
    <col min="11631" max="11631" width="18.140625" style="191" bestFit="1" customWidth="1"/>
    <col min="11632" max="11633" width="15.42578125" style="191" bestFit="1" customWidth="1"/>
    <col min="11634" max="11634" width="9.7109375" style="191" bestFit="1" customWidth="1"/>
    <col min="11635" max="11635" width="15.85546875" style="191" bestFit="1" customWidth="1"/>
    <col min="11636" max="11640" width="14" style="191" customWidth="1"/>
    <col min="11641" max="11641" width="18.42578125" style="191" bestFit="1" customWidth="1"/>
    <col min="11642" max="11642" width="15.140625" style="191" bestFit="1" customWidth="1"/>
    <col min="11643" max="11643" width="15" style="191" bestFit="1" customWidth="1"/>
    <col min="11644" max="11644" width="18.140625" style="191" bestFit="1" customWidth="1"/>
    <col min="11645" max="11645" width="8.7109375" style="191" bestFit="1" customWidth="1"/>
    <col min="11646" max="11646" width="18.42578125" style="191" bestFit="1" customWidth="1"/>
    <col min="11647" max="11647" width="14.85546875" style="191" bestFit="1" customWidth="1"/>
    <col min="11648" max="11648" width="14.140625" style="191" bestFit="1" customWidth="1"/>
    <col min="11649" max="11649" width="13.42578125" style="191" bestFit="1" customWidth="1"/>
    <col min="11650" max="11650" width="8.7109375" style="191" bestFit="1" customWidth="1"/>
    <col min="11651" max="11651" width="15.42578125" style="191" bestFit="1" customWidth="1"/>
    <col min="11652" max="11652" width="12.85546875" style="191" bestFit="1" customWidth="1"/>
    <col min="11653" max="11653" width="15.42578125" style="191" bestFit="1" customWidth="1"/>
    <col min="11654" max="11654" width="19.85546875" style="191" bestFit="1" customWidth="1"/>
    <col min="11655" max="11655" width="10.5703125" style="191" bestFit="1" customWidth="1"/>
    <col min="11656" max="11656" width="19.85546875" style="191" bestFit="1" customWidth="1"/>
    <col min="11657" max="11657" width="15.28515625" style="191" bestFit="1" customWidth="1"/>
    <col min="11658" max="11658" width="15.85546875" style="191" bestFit="1" customWidth="1"/>
    <col min="11659" max="11659" width="17.42578125" style="191" bestFit="1" customWidth="1"/>
    <col min="11660" max="11660" width="14" style="191" bestFit="1" customWidth="1"/>
    <col min="11661" max="11667" width="14" style="191" customWidth="1"/>
    <col min="11668" max="11668" width="17.42578125" style="191" bestFit="1" customWidth="1"/>
    <col min="11669" max="11669" width="14" style="191" customWidth="1"/>
    <col min="11670" max="11670" width="9.5703125" style="191" bestFit="1" customWidth="1"/>
    <col min="11671" max="11671" width="15.5703125" style="191" bestFit="1" customWidth="1"/>
    <col min="11672" max="11672" width="16.5703125" style="191" bestFit="1" customWidth="1"/>
    <col min="11673" max="11673" width="14" style="191" customWidth="1"/>
    <col min="11674" max="11674" width="9.5703125" style="191" bestFit="1" customWidth="1"/>
    <col min="11675" max="11675" width="15.5703125" style="191" bestFit="1" customWidth="1"/>
    <col min="11676" max="11676" width="16.5703125" style="191" bestFit="1" customWidth="1"/>
    <col min="11677" max="11677" width="14.140625" style="191" bestFit="1" customWidth="1"/>
    <col min="11678" max="11682" width="14" style="191" customWidth="1"/>
    <col min="11683" max="11798" width="9.140625" style="191"/>
    <col min="11799" max="11799" width="0.140625" style="191" customWidth="1"/>
    <col min="11800" max="11800" width="17.140625" style="191" customWidth="1"/>
    <col min="11801" max="11801" width="8.5703125" style="191" customWidth="1"/>
    <col min="11802" max="11810" width="0" style="191" hidden="1" customWidth="1"/>
    <col min="11811" max="11811" width="5.140625" style="191" customWidth="1"/>
    <col min="11812" max="11812" width="0" style="191" hidden="1" customWidth="1"/>
    <col min="11813" max="11813" width="4.140625" style="191" customWidth="1"/>
    <col min="11814" max="11814" width="1.7109375" style="191" customWidth="1"/>
    <col min="11815" max="11815" width="5.28515625" style="191" customWidth="1"/>
    <col min="11816" max="11816" width="12.85546875" style="191" bestFit="1" customWidth="1"/>
    <col min="11817" max="11817" width="12.85546875" style="191" customWidth="1"/>
    <col min="11818" max="11821" width="9.140625" style="191"/>
    <col min="11822" max="11822" width="27.85546875" style="191" bestFit="1" customWidth="1"/>
    <col min="11823" max="11824" width="12.7109375" style="191" customWidth="1"/>
    <col min="11825" max="11825" width="9.140625" style="191"/>
    <col min="11826" max="11826" width="17" style="191" bestFit="1" customWidth="1"/>
    <col min="11827" max="11828" width="9.140625" style="191"/>
    <col min="11829" max="11829" width="14" style="191" bestFit="1" customWidth="1"/>
    <col min="11830" max="11830" width="12" style="191" bestFit="1" customWidth="1"/>
    <col min="11831" max="11831" width="12.5703125" style="191" bestFit="1" customWidth="1"/>
    <col min="11832" max="11832" width="14" style="191" bestFit="1" customWidth="1"/>
    <col min="11833" max="11833" width="19" style="191" bestFit="1" customWidth="1"/>
    <col min="11834" max="11834" width="15.7109375" style="191" bestFit="1" customWidth="1"/>
    <col min="11835" max="11835" width="22.28515625" style="191" bestFit="1" customWidth="1"/>
    <col min="11836" max="11836" width="10.5703125" style="191" bestFit="1" customWidth="1"/>
    <col min="11837" max="11837" width="14" style="191" bestFit="1" customWidth="1"/>
    <col min="11838" max="11838" width="14.85546875" style="191" bestFit="1" customWidth="1"/>
    <col min="11839" max="11839" width="11.28515625" style="191" bestFit="1" customWidth="1"/>
    <col min="11840" max="11840" width="14.7109375" style="191" bestFit="1" customWidth="1"/>
    <col min="11841" max="11841" width="11.5703125" style="191" bestFit="1" customWidth="1"/>
    <col min="11842" max="11842" width="18" style="191" bestFit="1" customWidth="1"/>
    <col min="11843" max="11843" width="7.42578125" style="191" bestFit="1" customWidth="1"/>
    <col min="11844" max="11844" width="14" style="191" bestFit="1" customWidth="1"/>
    <col min="11845" max="11849" width="14" style="191" customWidth="1"/>
    <col min="11850" max="11850" width="13.7109375" style="191" bestFit="1" customWidth="1"/>
    <col min="11851" max="11851" width="12.140625" style="191" bestFit="1" customWidth="1"/>
    <col min="11852" max="11852" width="10.5703125" style="191" bestFit="1" customWidth="1"/>
    <col min="11853" max="11854" width="18" style="191" bestFit="1" customWidth="1"/>
    <col min="11855" max="11855" width="8.7109375" style="191" bestFit="1" customWidth="1"/>
    <col min="11856" max="11856" width="14.5703125" style="191" bestFit="1" customWidth="1"/>
    <col min="11857" max="11857" width="15.140625" style="191" bestFit="1" customWidth="1"/>
    <col min="11858" max="11858" width="14.42578125" style="191" bestFit="1" customWidth="1"/>
    <col min="11859" max="11859" width="18.140625" style="191" bestFit="1" customWidth="1"/>
    <col min="11860" max="11860" width="11.28515625" style="191" bestFit="1" customWidth="1"/>
    <col min="11861" max="11861" width="18.85546875" style="191" bestFit="1" customWidth="1"/>
    <col min="11862" max="11862" width="15.5703125" style="191" bestFit="1" customWidth="1"/>
    <col min="11863" max="11863" width="20.42578125" style="191" bestFit="1" customWidth="1"/>
    <col min="11864" max="11864" width="11.42578125" style="191" bestFit="1" customWidth="1"/>
    <col min="11865" max="11865" width="19.42578125" style="191" bestFit="1" customWidth="1"/>
    <col min="11866" max="11866" width="16.28515625" style="191" bestFit="1" customWidth="1"/>
    <col min="11867" max="11867" width="11.42578125" style="191" bestFit="1" customWidth="1"/>
    <col min="11868" max="11868" width="7.5703125" style="191" bestFit="1" customWidth="1"/>
    <col min="11869" max="11869" width="18" style="191" bestFit="1" customWidth="1"/>
    <col min="11870" max="11870" width="14.5703125" style="191" bestFit="1" customWidth="1"/>
    <col min="11871" max="11871" width="14.42578125" style="191" bestFit="1" customWidth="1"/>
    <col min="11872" max="11872" width="12.85546875" style="191" bestFit="1" customWidth="1"/>
    <col min="11873" max="11873" width="8.140625" style="191" bestFit="1" customWidth="1"/>
    <col min="11874" max="11874" width="7.7109375" style="191" bestFit="1" customWidth="1"/>
    <col min="11875" max="11875" width="18.85546875" style="191" bestFit="1" customWidth="1"/>
    <col min="11876" max="11876" width="13.7109375" style="191" bestFit="1" customWidth="1"/>
    <col min="11877" max="11877" width="7.5703125" style="191" bestFit="1" customWidth="1"/>
    <col min="11878" max="11878" width="10.85546875" style="191" bestFit="1" customWidth="1"/>
    <col min="11879" max="11879" width="12.85546875" style="191" bestFit="1" customWidth="1"/>
    <col min="11880" max="11884" width="14" style="191" customWidth="1"/>
    <col min="11885" max="11885" width="15.42578125" style="191" bestFit="1" customWidth="1"/>
    <col min="11886" max="11886" width="13.140625" style="191" bestFit="1" customWidth="1"/>
    <col min="11887" max="11887" width="18.140625" style="191" bestFit="1" customWidth="1"/>
    <col min="11888" max="11889" width="15.42578125" style="191" bestFit="1" customWidth="1"/>
    <col min="11890" max="11890" width="9.7109375" style="191" bestFit="1" customWidth="1"/>
    <col min="11891" max="11891" width="15.85546875" style="191" bestFit="1" customWidth="1"/>
    <col min="11892" max="11896" width="14" style="191" customWidth="1"/>
    <col min="11897" max="11897" width="18.42578125" style="191" bestFit="1" customWidth="1"/>
    <col min="11898" max="11898" width="15.140625" style="191" bestFit="1" customWidth="1"/>
    <col min="11899" max="11899" width="15" style="191" bestFit="1" customWidth="1"/>
    <col min="11900" max="11900" width="18.140625" style="191" bestFit="1" customWidth="1"/>
    <col min="11901" max="11901" width="8.7109375" style="191" bestFit="1" customWidth="1"/>
    <col min="11902" max="11902" width="18.42578125" style="191" bestFit="1" customWidth="1"/>
    <col min="11903" max="11903" width="14.85546875" style="191" bestFit="1" customWidth="1"/>
    <col min="11904" max="11904" width="14.140625" style="191" bestFit="1" customWidth="1"/>
    <col min="11905" max="11905" width="13.42578125" style="191" bestFit="1" customWidth="1"/>
    <col min="11906" max="11906" width="8.7109375" style="191" bestFit="1" customWidth="1"/>
    <col min="11907" max="11907" width="15.42578125" style="191" bestFit="1" customWidth="1"/>
    <col min="11908" max="11908" width="12.85546875" style="191" bestFit="1" customWidth="1"/>
    <col min="11909" max="11909" width="15.42578125" style="191" bestFit="1" customWidth="1"/>
    <col min="11910" max="11910" width="19.85546875" style="191" bestFit="1" customWidth="1"/>
    <col min="11911" max="11911" width="10.5703125" style="191" bestFit="1" customWidth="1"/>
    <col min="11912" max="11912" width="19.85546875" style="191" bestFit="1" customWidth="1"/>
    <col min="11913" max="11913" width="15.28515625" style="191" bestFit="1" customWidth="1"/>
    <col min="11914" max="11914" width="15.85546875" style="191" bestFit="1" customWidth="1"/>
    <col min="11915" max="11915" width="17.42578125" style="191" bestFit="1" customWidth="1"/>
    <col min="11916" max="11916" width="14" style="191" bestFit="1" customWidth="1"/>
    <col min="11917" max="11923" width="14" style="191" customWidth="1"/>
    <col min="11924" max="11924" width="17.42578125" style="191" bestFit="1" customWidth="1"/>
    <col min="11925" max="11925" width="14" style="191" customWidth="1"/>
    <col min="11926" max="11926" width="9.5703125" style="191" bestFit="1" customWidth="1"/>
    <col min="11927" max="11927" width="15.5703125" style="191" bestFit="1" customWidth="1"/>
    <col min="11928" max="11928" width="16.5703125" style="191" bestFit="1" customWidth="1"/>
    <col min="11929" max="11929" width="14" style="191" customWidth="1"/>
    <col min="11930" max="11930" width="9.5703125" style="191" bestFit="1" customWidth="1"/>
    <col min="11931" max="11931" width="15.5703125" style="191" bestFit="1" customWidth="1"/>
    <col min="11932" max="11932" width="16.5703125" style="191" bestFit="1" customWidth="1"/>
    <col min="11933" max="11933" width="14.140625" style="191" bestFit="1" customWidth="1"/>
    <col min="11934" max="11938" width="14" style="191" customWidth="1"/>
    <col min="11939" max="12054" width="9.140625" style="191"/>
    <col min="12055" max="12055" width="0.140625" style="191" customWidth="1"/>
    <col min="12056" max="12056" width="17.140625" style="191" customWidth="1"/>
    <col min="12057" max="12057" width="8.5703125" style="191" customWidth="1"/>
    <col min="12058" max="12066" width="0" style="191" hidden="1" customWidth="1"/>
    <col min="12067" max="12067" width="5.140625" style="191" customWidth="1"/>
    <col min="12068" max="12068" width="0" style="191" hidden="1" customWidth="1"/>
    <col min="12069" max="12069" width="4.140625" style="191" customWidth="1"/>
    <col min="12070" max="12070" width="1.7109375" style="191" customWidth="1"/>
    <col min="12071" max="12071" width="5.28515625" style="191" customWidth="1"/>
    <col min="12072" max="12072" width="12.85546875" style="191" bestFit="1" customWidth="1"/>
    <col min="12073" max="12073" width="12.85546875" style="191" customWidth="1"/>
    <col min="12074" max="12077" width="9.140625" style="191"/>
    <col min="12078" max="12078" width="27.85546875" style="191" bestFit="1" customWidth="1"/>
    <col min="12079" max="12080" width="12.7109375" style="191" customWidth="1"/>
    <col min="12081" max="12081" width="9.140625" style="191"/>
    <col min="12082" max="12082" width="17" style="191" bestFit="1" customWidth="1"/>
    <col min="12083" max="12084" width="9.140625" style="191"/>
    <col min="12085" max="12085" width="14" style="191" bestFit="1" customWidth="1"/>
    <col min="12086" max="12086" width="12" style="191" bestFit="1" customWidth="1"/>
    <col min="12087" max="12087" width="12.5703125" style="191" bestFit="1" customWidth="1"/>
    <col min="12088" max="12088" width="14" style="191" bestFit="1" customWidth="1"/>
    <col min="12089" max="12089" width="19" style="191" bestFit="1" customWidth="1"/>
    <col min="12090" max="12090" width="15.7109375" style="191" bestFit="1" customWidth="1"/>
    <col min="12091" max="12091" width="22.28515625" style="191" bestFit="1" customWidth="1"/>
    <col min="12092" max="12092" width="10.5703125" style="191" bestFit="1" customWidth="1"/>
    <col min="12093" max="12093" width="14" style="191" bestFit="1" customWidth="1"/>
    <col min="12094" max="12094" width="14.85546875" style="191" bestFit="1" customWidth="1"/>
    <col min="12095" max="12095" width="11.28515625" style="191" bestFit="1" customWidth="1"/>
    <col min="12096" max="12096" width="14.7109375" style="191" bestFit="1" customWidth="1"/>
    <col min="12097" max="12097" width="11.5703125" style="191" bestFit="1" customWidth="1"/>
    <col min="12098" max="12098" width="18" style="191" bestFit="1" customWidth="1"/>
    <col min="12099" max="12099" width="7.42578125" style="191" bestFit="1" customWidth="1"/>
    <col min="12100" max="12100" width="14" style="191" bestFit="1" customWidth="1"/>
    <col min="12101" max="12105" width="14" style="191" customWidth="1"/>
    <col min="12106" max="12106" width="13.7109375" style="191" bestFit="1" customWidth="1"/>
    <col min="12107" max="12107" width="12.140625" style="191" bestFit="1" customWidth="1"/>
    <col min="12108" max="12108" width="10.5703125" style="191" bestFit="1" customWidth="1"/>
    <col min="12109" max="12110" width="18" style="191" bestFit="1" customWidth="1"/>
    <col min="12111" max="12111" width="8.7109375" style="191" bestFit="1" customWidth="1"/>
    <col min="12112" max="12112" width="14.5703125" style="191" bestFit="1" customWidth="1"/>
    <col min="12113" max="12113" width="15.140625" style="191" bestFit="1" customWidth="1"/>
    <col min="12114" max="12114" width="14.42578125" style="191" bestFit="1" customWidth="1"/>
    <col min="12115" max="12115" width="18.140625" style="191" bestFit="1" customWidth="1"/>
    <col min="12116" max="12116" width="11.28515625" style="191" bestFit="1" customWidth="1"/>
    <col min="12117" max="12117" width="18.85546875" style="191" bestFit="1" customWidth="1"/>
    <col min="12118" max="12118" width="15.5703125" style="191" bestFit="1" customWidth="1"/>
    <col min="12119" max="12119" width="20.42578125" style="191" bestFit="1" customWidth="1"/>
    <col min="12120" max="12120" width="11.42578125" style="191" bestFit="1" customWidth="1"/>
    <col min="12121" max="12121" width="19.42578125" style="191" bestFit="1" customWidth="1"/>
    <col min="12122" max="12122" width="16.28515625" style="191" bestFit="1" customWidth="1"/>
    <col min="12123" max="12123" width="11.42578125" style="191" bestFit="1" customWidth="1"/>
    <col min="12124" max="12124" width="7.5703125" style="191" bestFit="1" customWidth="1"/>
    <col min="12125" max="12125" width="18" style="191" bestFit="1" customWidth="1"/>
    <col min="12126" max="12126" width="14.5703125" style="191" bestFit="1" customWidth="1"/>
    <col min="12127" max="12127" width="14.42578125" style="191" bestFit="1" customWidth="1"/>
    <col min="12128" max="12128" width="12.85546875" style="191" bestFit="1" customWidth="1"/>
    <col min="12129" max="12129" width="8.140625" style="191" bestFit="1" customWidth="1"/>
    <col min="12130" max="12130" width="7.7109375" style="191" bestFit="1" customWidth="1"/>
    <col min="12131" max="12131" width="18.85546875" style="191" bestFit="1" customWidth="1"/>
    <col min="12132" max="12132" width="13.7109375" style="191" bestFit="1" customWidth="1"/>
    <col min="12133" max="12133" width="7.5703125" style="191" bestFit="1" customWidth="1"/>
    <col min="12134" max="12134" width="10.85546875" style="191" bestFit="1" customWidth="1"/>
    <col min="12135" max="12135" width="12.85546875" style="191" bestFit="1" customWidth="1"/>
    <col min="12136" max="12140" width="14" style="191" customWidth="1"/>
    <col min="12141" max="12141" width="15.42578125" style="191" bestFit="1" customWidth="1"/>
    <col min="12142" max="12142" width="13.140625" style="191" bestFit="1" customWidth="1"/>
    <col min="12143" max="12143" width="18.140625" style="191" bestFit="1" customWidth="1"/>
    <col min="12144" max="12145" width="15.42578125" style="191" bestFit="1" customWidth="1"/>
    <col min="12146" max="12146" width="9.7109375" style="191" bestFit="1" customWidth="1"/>
    <col min="12147" max="12147" width="15.85546875" style="191" bestFit="1" customWidth="1"/>
    <col min="12148" max="12152" width="14" style="191" customWidth="1"/>
    <col min="12153" max="12153" width="18.42578125" style="191" bestFit="1" customWidth="1"/>
    <col min="12154" max="12154" width="15.140625" style="191" bestFit="1" customWidth="1"/>
    <col min="12155" max="12155" width="15" style="191" bestFit="1" customWidth="1"/>
    <col min="12156" max="12156" width="18.140625" style="191" bestFit="1" customWidth="1"/>
    <col min="12157" max="12157" width="8.7109375" style="191" bestFit="1" customWidth="1"/>
    <col min="12158" max="12158" width="18.42578125" style="191" bestFit="1" customWidth="1"/>
    <col min="12159" max="12159" width="14.85546875" style="191" bestFit="1" customWidth="1"/>
    <col min="12160" max="12160" width="14.140625" style="191" bestFit="1" customWidth="1"/>
    <col min="12161" max="12161" width="13.42578125" style="191" bestFit="1" customWidth="1"/>
    <col min="12162" max="12162" width="8.7109375" style="191" bestFit="1" customWidth="1"/>
    <col min="12163" max="12163" width="15.42578125" style="191" bestFit="1" customWidth="1"/>
    <col min="12164" max="12164" width="12.85546875" style="191" bestFit="1" customWidth="1"/>
    <col min="12165" max="12165" width="15.42578125" style="191" bestFit="1" customWidth="1"/>
    <col min="12166" max="12166" width="19.85546875" style="191" bestFit="1" customWidth="1"/>
    <col min="12167" max="12167" width="10.5703125" style="191" bestFit="1" customWidth="1"/>
    <col min="12168" max="12168" width="19.85546875" style="191" bestFit="1" customWidth="1"/>
    <col min="12169" max="12169" width="15.28515625" style="191" bestFit="1" customWidth="1"/>
    <col min="12170" max="12170" width="15.85546875" style="191" bestFit="1" customWidth="1"/>
    <col min="12171" max="12171" width="17.42578125" style="191" bestFit="1" customWidth="1"/>
    <col min="12172" max="12172" width="14" style="191" bestFit="1" customWidth="1"/>
    <col min="12173" max="12179" width="14" style="191" customWidth="1"/>
    <col min="12180" max="12180" width="17.42578125" style="191" bestFit="1" customWidth="1"/>
    <col min="12181" max="12181" width="14" style="191" customWidth="1"/>
    <col min="12182" max="12182" width="9.5703125" style="191" bestFit="1" customWidth="1"/>
    <col min="12183" max="12183" width="15.5703125" style="191" bestFit="1" customWidth="1"/>
    <col min="12184" max="12184" width="16.5703125" style="191" bestFit="1" customWidth="1"/>
    <col min="12185" max="12185" width="14" style="191" customWidth="1"/>
    <col min="12186" max="12186" width="9.5703125" style="191" bestFit="1" customWidth="1"/>
    <col min="12187" max="12187" width="15.5703125" style="191" bestFit="1" customWidth="1"/>
    <col min="12188" max="12188" width="16.5703125" style="191" bestFit="1" customWidth="1"/>
    <col min="12189" max="12189" width="14.140625" style="191" bestFit="1" customWidth="1"/>
    <col min="12190" max="12194" width="14" style="191" customWidth="1"/>
    <col min="12195" max="12310" width="9.140625" style="191"/>
    <col min="12311" max="12311" width="0.140625" style="191" customWidth="1"/>
    <col min="12312" max="12312" width="17.140625" style="191" customWidth="1"/>
    <col min="12313" max="12313" width="8.5703125" style="191" customWidth="1"/>
    <col min="12314" max="12322" width="0" style="191" hidden="1" customWidth="1"/>
    <col min="12323" max="12323" width="5.140625" style="191" customWidth="1"/>
    <col min="12324" max="12324" width="0" style="191" hidden="1" customWidth="1"/>
    <col min="12325" max="12325" width="4.140625" style="191" customWidth="1"/>
    <col min="12326" max="12326" width="1.7109375" style="191" customWidth="1"/>
    <col min="12327" max="12327" width="5.28515625" style="191" customWidth="1"/>
    <col min="12328" max="12328" width="12.85546875" style="191" bestFit="1" customWidth="1"/>
    <col min="12329" max="12329" width="12.85546875" style="191" customWidth="1"/>
    <col min="12330" max="12333" width="9.140625" style="191"/>
    <col min="12334" max="12334" width="27.85546875" style="191" bestFit="1" customWidth="1"/>
    <col min="12335" max="12336" width="12.7109375" style="191" customWidth="1"/>
    <col min="12337" max="12337" width="9.140625" style="191"/>
    <col min="12338" max="12338" width="17" style="191" bestFit="1" customWidth="1"/>
    <col min="12339" max="12340" width="9.140625" style="191"/>
    <col min="12341" max="12341" width="14" style="191" bestFit="1" customWidth="1"/>
    <col min="12342" max="12342" width="12" style="191" bestFit="1" customWidth="1"/>
    <col min="12343" max="12343" width="12.5703125" style="191" bestFit="1" customWidth="1"/>
    <col min="12344" max="12344" width="14" style="191" bestFit="1" customWidth="1"/>
    <col min="12345" max="12345" width="19" style="191" bestFit="1" customWidth="1"/>
    <col min="12346" max="12346" width="15.7109375" style="191" bestFit="1" customWidth="1"/>
    <col min="12347" max="12347" width="22.28515625" style="191" bestFit="1" customWidth="1"/>
    <col min="12348" max="12348" width="10.5703125" style="191" bestFit="1" customWidth="1"/>
    <col min="12349" max="12349" width="14" style="191" bestFit="1" customWidth="1"/>
    <col min="12350" max="12350" width="14.85546875" style="191" bestFit="1" customWidth="1"/>
    <col min="12351" max="12351" width="11.28515625" style="191" bestFit="1" customWidth="1"/>
    <col min="12352" max="12352" width="14.7109375" style="191" bestFit="1" customWidth="1"/>
    <col min="12353" max="12353" width="11.5703125" style="191" bestFit="1" customWidth="1"/>
    <col min="12354" max="12354" width="18" style="191" bestFit="1" customWidth="1"/>
    <col min="12355" max="12355" width="7.42578125" style="191" bestFit="1" customWidth="1"/>
    <col min="12356" max="12356" width="14" style="191" bestFit="1" customWidth="1"/>
    <col min="12357" max="12361" width="14" style="191" customWidth="1"/>
    <col min="12362" max="12362" width="13.7109375" style="191" bestFit="1" customWidth="1"/>
    <col min="12363" max="12363" width="12.140625" style="191" bestFit="1" customWidth="1"/>
    <col min="12364" max="12364" width="10.5703125" style="191" bestFit="1" customWidth="1"/>
    <col min="12365" max="12366" width="18" style="191" bestFit="1" customWidth="1"/>
    <col min="12367" max="12367" width="8.7109375" style="191" bestFit="1" customWidth="1"/>
    <col min="12368" max="12368" width="14.5703125" style="191" bestFit="1" customWidth="1"/>
    <col min="12369" max="12369" width="15.140625" style="191" bestFit="1" customWidth="1"/>
    <col min="12370" max="12370" width="14.42578125" style="191" bestFit="1" customWidth="1"/>
    <col min="12371" max="12371" width="18.140625" style="191" bestFit="1" customWidth="1"/>
    <col min="12372" max="12372" width="11.28515625" style="191" bestFit="1" customWidth="1"/>
    <col min="12373" max="12373" width="18.85546875" style="191" bestFit="1" customWidth="1"/>
    <col min="12374" max="12374" width="15.5703125" style="191" bestFit="1" customWidth="1"/>
    <col min="12375" max="12375" width="20.42578125" style="191" bestFit="1" customWidth="1"/>
    <col min="12376" max="12376" width="11.42578125" style="191" bestFit="1" customWidth="1"/>
    <col min="12377" max="12377" width="19.42578125" style="191" bestFit="1" customWidth="1"/>
    <col min="12378" max="12378" width="16.28515625" style="191" bestFit="1" customWidth="1"/>
    <col min="12379" max="12379" width="11.42578125" style="191" bestFit="1" customWidth="1"/>
    <col min="12380" max="12380" width="7.5703125" style="191" bestFit="1" customWidth="1"/>
    <col min="12381" max="12381" width="18" style="191" bestFit="1" customWidth="1"/>
    <col min="12382" max="12382" width="14.5703125" style="191" bestFit="1" customWidth="1"/>
    <col min="12383" max="12383" width="14.42578125" style="191" bestFit="1" customWidth="1"/>
    <col min="12384" max="12384" width="12.85546875" style="191" bestFit="1" customWidth="1"/>
    <col min="12385" max="12385" width="8.140625" style="191" bestFit="1" customWidth="1"/>
    <col min="12386" max="12386" width="7.7109375" style="191" bestFit="1" customWidth="1"/>
    <col min="12387" max="12387" width="18.85546875" style="191" bestFit="1" customWidth="1"/>
    <col min="12388" max="12388" width="13.7109375" style="191" bestFit="1" customWidth="1"/>
    <col min="12389" max="12389" width="7.5703125" style="191" bestFit="1" customWidth="1"/>
    <col min="12390" max="12390" width="10.85546875" style="191" bestFit="1" customWidth="1"/>
    <col min="12391" max="12391" width="12.85546875" style="191" bestFit="1" customWidth="1"/>
    <col min="12392" max="12396" width="14" style="191" customWidth="1"/>
    <col min="12397" max="12397" width="15.42578125" style="191" bestFit="1" customWidth="1"/>
    <col min="12398" max="12398" width="13.140625" style="191" bestFit="1" customWidth="1"/>
    <col min="12399" max="12399" width="18.140625" style="191" bestFit="1" customWidth="1"/>
    <col min="12400" max="12401" width="15.42578125" style="191" bestFit="1" customWidth="1"/>
    <col min="12402" max="12402" width="9.7109375" style="191" bestFit="1" customWidth="1"/>
    <col min="12403" max="12403" width="15.85546875" style="191" bestFit="1" customWidth="1"/>
    <col min="12404" max="12408" width="14" style="191" customWidth="1"/>
    <col min="12409" max="12409" width="18.42578125" style="191" bestFit="1" customWidth="1"/>
    <col min="12410" max="12410" width="15.140625" style="191" bestFit="1" customWidth="1"/>
    <col min="12411" max="12411" width="15" style="191" bestFit="1" customWidth="1"/>
    <col min="12412" max="12412" width="18.140625" style="191" bestFit="1" customWidth="1"/>
    <col min="12413" max="12413" width="8.7109375" style="191" bestFit="1" customWidth="1"/>
    <col min="12414" max="12414" width="18.42578125" style="191" bestFit="1" customWidth="1"/>
    <col min="12415" max="12415" width="14.85546875" style="191" bestFit="1" customWidth="1"/>
    <col min="12416" max="12416" width="14.140625" style="191" bestFit="1" customWidth="1"/>
    <col min="12417" max="12417" width="13.42578125" style="191" bestFit="1" customWidth="1"/>
    <col min="12418" max="12418" width="8.7109375" style="191" bestFit="1" customWidth="1"/>
    <col min="12419" max="12419" width="15.42578125" style="191" bestFit="1" customWidth="1"/>
    <col min="12420" max="12420" width="12.85546875" style="191" bestFit="1" customWidth="1"/>
    <col min="12421" max="12421" width="15.42578125" style="191" bestFit="1" customWidth="1"/>
    <col min="12422" max="12422" width="19.85546875" style="191" bestFit="1" customWidth="1"/>
    <col min="12423" max="12423" width="10.5703125" style="191" bestFit="1" customWidth="1"/>
    <col min="12424" max="12424" width="19.85546875" style="191" bestFit="1" customWidth="1"/>
    <col min="12425" max="12425" width="15.28515625" style="191" bestFit="1" customWidth="1"/>
    <col min="12426" max="12426" width="15.85546875" style="191" bestFit="1" customWidth="1"/>
    <col min="12427" max="12427" width="17.42578125" style="191" bestFit="1" customWidth="1"/>
    <col min="12428" max="12428" width="14" style="191" bestFit="1" customWidth="1"/>
    <col min="12429" max="12435" width="14" style="191" customWidth="1"/>
    <col min="12436" max="12436" width="17.42578125" style="191" bestFit="1" customWidth="1"/>
    <col min="12437" max="12437" width="14" style="191" customWidth="1"/>
    <col min="12438" max="12438" width="9.5703125" style="191" bestFit="1" customWidth="1"/>
    <col min="12439" max="12439" width="15.5703125" style="191" bestFit="1" customWidth="1"/>
    <col min="12440" max="12440" width="16.5703125" style="191" bestFit="1" customWidth="1"/>
    <col min="12441" max="12441" width="14" style="191" customWidth="1"/>
    <col min="12442" max="12442" width="9.5703125" style="191" bestFit="1" customWidth="1"/>
    <col min="12443" max="12443" width="15.5703125" style="191" bestFit="1" customWidth="1"/>
    <col min="12444" max="12444" width="16.5703125" style="191" bestFit="1" customWidth="1"/>
    <col min="12445" max="12445" width="14.140625" style="191" bestFit="1" customWidth="1"/>
    <col min="12446" max="12450" width="14" style="191" customWidth="1"/>
    <col min="12451" max="12566" width="9.140625" style="191"/>
    <col min="12567" max="12567" width="0.140625" style="191" customWidth="1"/>
    <col min="12568" max="12568" width="17.140625" style="191" customWidth="1"/>
    <col min="12569" max="12569" width="8.5703125" style="191" customWidth="1"/>
    <col min="12570" max="12578" width="0" style="191" hidden="1" customWidth="1"/>
    <col min="12579" max="12579" width="5.140625" style="191" customWidth="1"/>
    <col min="12580" max="12580" width="0" style="191" hidden="1" customWidth="1"/>
    <col min="12581" max="12581" width="4.140625" style="191" customWidth="1"/>
    <col min="12582" max="12582" width="1.7109375" style="191" customWidth="1"/>
    <col min="12583" max="12583" width="5.28515625" style="191" customWidth="1"/>
    <col min="12584" max="12584" width="12.85546875" style="191" bestFit="1" customWidth="1"/>
    <col min="12585" max="12585" width="12.85546875" style="191" customWidth="1"/>
    <col min="12586" max="12589" width="9.140625" style="191"/>
    <col min="12590" max="12590" width="27.85546875" style="191" bestFit="1" customWidth="1"/>
    <col min="12591" max="12592" width="12.7109375" style="191" customWidth="1"/>
    <col min="12593" max="12593" width="9.140625" style="191"/>
    <col min="12594" max="12594" width="17" style="191" bestFit="1" customWidth="1"/>
    <col min="12595" max="12596" width="9.140625" style="191"/>
    <col min="12597" max="12597" width="14" style="191" bestFit="1" customWidth="1"/>
    <col min="12598" max="12598" width="12" style="191" bestFit="1" customWidth="1"/>
    <col min="12599" max="12599" width="12.5703125" style="191" bestFit="1" customWidth="1"/>
    <col min="12600" max="12600" width="14" style="191" bestFit="1" customWidth="1"/>
    <col min="12601" max="12601" width="19" style="191" bestFit="1" customWidth="1"/>
    <col min="12602" max="12602" width="15.7109375" style="191" bestFit="1" customWidth="1"/>
    <col min="12603" max="12603" width="22.28515625" style="191" bestFit="1" customWidth="1"/>
    <col min="12604" max="12604" width="10.5703125" style="191" bestFit="1" customWidth="1"/>
    <col min="12605" max="12605" width="14" style="191" bestFit="1" customWidth="1"/>
    <col min="12606" max="12606" width="14.85546875" style="191" bestFit="1" customWidth="1"/>
    <col min="12607" max="12607" width="11.28515625" style="191" bestFit="1" customWidth="1"/>
    <col min="12608" max="12608" width="14.7109375" style="191" bestFit="1" customWidth="1"/>
    <col min="12609" max="12609" width="11.5703125" style="191" bestFit="1" customWidth="1"/>
    <col min="12610" max="12610" width="18" style="191" bestFit="1" customWidth="1"/>
    <col min="12611" max="12611" width="7.42578125" style="191" bestFit="1" customWidth="1"/>
    <col min="12612" max="12612" width="14" style="191" bestFit="1" customWidth="1"/>
    <col min="12613" max="12617" width="14" style="191" customWidth="1"/>
    <col min="12618" max="12618" width="13.7109375" style="191" bestFit="1" customWidth="1"/>
    <col min="12619" max="12619" width="12.140625" style="191" bestFit="1" customWidth="1"/>
    <col min="12620" max="12620" width="10.5703125" style="191" bestFit="1" customWidth="1"/>
    <col min="12621" max="12622" width="18" style="191" bestFit="1" customWidth="1"/>
    <col min="12623" max="12623" width="8.7109375" style="191" bestFit="1" customWidth="1"/>
    <col min="12624" max="12624" width="14.5703125" style="191" bestFit="1" customWidth="1"/>
    <col min="12625" max="12625" width="15.140625" style="191" bestFit="1" customWidth="1"/>
    <col min="12626" max="12626" width="14.42578125" style="191" bestFit="1" customWidth="1"/>
    <col min="12627" max="12627" width="18.140625" style="191" bestFit="1" customWidth="1"/>
    <col min="12628" max="12628" width="11.28515625" style="191" bestFit="1" customWidth="1"/>
    <col min="12629" max="12629" width="18.85546875" style="191" bestFit="1" customWidth="1"/>
    <col min="12630" max="12630" width="15.5703125" style="191" bestFit="1" customWidth="1"/>
    <col min="12631" max="12631" width="20.42578125" style="191" bestFit="1" customWidth="1"/>
    <col min="12632" max="12632" width="11.42578125" style="191" bestFit="1" customWidth="1"/>
    <col min="12633" max="12633" width="19.42578125" style="191" bestFit="1" customWidth="1"/>
    <col min="12634" max="12634" width="16.28515625" style="191" bestFit="1" customWidth="1"/>
    <col min="12635" max="12635" width="11.42578125" style="191" bestFit="1" customWidth="1"/>
    <col min="12636" max="12636" width="7.5703125" style="191" bestFit="1" customWidth="1"/>
    <col min="12637" max="12637" width="18" style="191" bestFit="1" customWidth="1"/>
    <col min="12638" max="12638" width="14.5703125" style="191" bestFit="1" customWidth="1"/>
    <col min="12639" max="12639" width="14.42578125" style="191" bestFit="1" customWidth="1"/>
    <col min="12640" max="12640" width="12.85546875" style="191" bestFit="1" customWidth="1"/>
    <col min="12641" max="12641" width="8.140625" style="191" bestFit="1" customWidth="1"/>
    <col min="12642" max="12642" width="7.7109375" style="191" bestFit="1" customWidth="1"/>
    <col min="12643" max="12643" width="18.85546875" style="191" bestFit="1" customWidth="1"/>
    <col min="12644" max="12644" width="13.7109375" style="191" bestFit="1" customWidth="1"/>
    <col min="12645" max="12645" width="7.5703125" style="191" bestFit="1" customWidth="1"/>
    <col min="12646" max="12646" width="10.85546875" style="191" bestFit="1" customWidth="1"/>
    <col min="12647" max="12647" width="12.85546875" style="191" bestFit="1" customWidth="1"/>
    <col min="12648" max="12652" width="14" style="191" customWidth="1"/>
    <col min="12653" max="12653" width="15.42578125" style="191" bestFit="1" customWidth="1"/>
    <col min="12654" max="12654" width="13.140625" style="191" bestFit="1" customWidth="1"/>
    <col min="12655" max="12655" width="18.140625" style="191" bestFit="1" customWidth="1"/>
    <col min="12656" max="12657" width="15.42578125" style="191" bestFit="1" customWidth="1"/>
    <col min="12658" max="12658" width="9.7109375" style="191" bestFit="1" customWidth="1"/>
    <col min="12659" max="12659" width="15.85546875" style="191" bestFit="1" customWidth="1"/>
    <col min="12660" max="12664" width="14" style="191" customWidth="1"/>
    <col min="12665" max="12665" width="18.42578125" style="191" bestFit="1" customWidth="1"/>
    <col min="12666" max="12666" width="15.140625" style="191" bestFit="1" customWidth="1"/>
    <col min="12667" max="12667" width="15" style="191" bestFit="1" customWidth="1"/>
    <col min="12668" max="12668" width="18.140625" style="191" bestFit="1" customWidth="1"/>
    <col min="12669" max="12669" width="8.7109375" style="191" bestFit="1" customWidth="1"/>
    <col min="12670" max="12670" width="18.42578125" style="191" bestFit="1" customWidth="1"/>
    <col min="12671" max="12671" width="14.85546875" style="191" bestFit="1" customWidth="1"/>
    <col min="12672" max="12672" width="14.140625" style="191" bestFit="1" customWidth="1"/>
    <col min="12673" max="12673" width="13.42578125" style="191" bestFit="1" customWidth="1"/>
    <col min="12674" max="12674" width="8.7109375" style="191" bestFit="1" customWidth="1"/>
    <col min="12675" max="12675" width="15.42578125" style="191" bestFit="1" customWidth="1"/>
    <col min="12676" max="12676" width="12.85546875" style="191" bestFit="1" customWidth="1"/>
    <col min="12677" max="12677" width="15.42578125" style="191" bestFit="1" customWidth="1"/>
    <col min="12678" max="12678" width="19.85546875" style="191" bestFit="1" customWidth="1"/>
    <col min="12679" max="12679" width="10.5703125" style="191" bestFit="1" customWidth="1"/>
    <col min="12680" max="12680" width="19.85546875" style="191" bestFit="1" customWidth="1"/>
    <col min="12681" max="12681" width="15.28515625" style="191" bestFit="1" customWidth="1"/>
    <col min="12682" max="12682" width="15.85546875" style="191" bestFit="1" customWidth="1"/>
    <col min="12683" max="12683" width="17.42578125" style="191" bestFit="1" customWidth="1"/>
    <col min="12684" max="12684" width="14" style="191" bestFit="1" customWidth="1"/>
    <col min="12685" max="12691" width="14" style="191" customWidth="1"/>
    <col min="12692" max="12692" width="17.42578125" style="191" bestFit="1" customWidth="1"/>
    <col min="12693" max="12693" width="14" style="191" customWidth="1"/>
    <col min="12694" max="12694" width="9.5703125" style="191" bestFit="1" customWidth="1"/>
    <col min="12695" max="12695" width="15.5703125" style="191" bestFit="1" customWidth="1"/>
    <col min="12696" max="12696" width="16.5703125" style="191" bestFit="1" customWidth="1"/>
    <col min="12697" max="12697" width="14" style="191" customWidth="1"/>
    <col min="12698" max="12698" width="9.5703125" style="191" bestFit="1" customWidth="1"/>
    <col min="12699" max="12699" width="15.5703125" style="191" bestFit="1" customWidth="1"/>
    <col min="12700" max="12700" width="16.5703125" style="191" bestFit="1" customWidth="1"/>
    <col min="12701" max="12701" width="14.140625" style="191" bestFit="1" customWidth="1"/>
    <col min="12702" max="12706" width="14" style="191" customWidth="1"/>
    <col min="12707" max="12822" width="9.140625" style="191"/>
    <col min="12823" max="12823" width="0.140625" style="191" customWidth="1"/>
    <col min="12824" max="12824" width="17.140625" style="191" customWidth="1"/>
    <col min="12825" max="12825" width="8.5703125" style="191" customWidth="1"/>
    <col min="12826" max="12834" width="0" style="191" hidden="1" customWidth="1"/>
    <col min="12835" max="12835" width="5.140625" style="191" customWidth="1"/>
    <col min="12836" max="12836" width="0" style="191" hidden="1" customWidth="1"/>
    <col min="12837" max="12837" width="4.140625" style="191" customWidth="1"/>
    <col min="12838" max="12838" width="1.7109375" style="191" customWidth="1"/>
    <col min="12839" max="12839" width="5.28515625" style="191" customWidth="1"/>
    <col min="12840" max="12840" width="12.85546875" style="191" bestFit="1" customWidth="1"/>
    <col min="12841" max="12841" width="12.85546875" style="191" customWidth="1"/>
    <col min="12842" max="12845" width="9.140625" style="191"/>
    <col min="12846" max="12846" width="27.85546875" style="191" bestFit="1" customWidth="1"/>
    <col min="12847" max="12848" width="12.7109375" style="191" customWidth="1"/>
    <col min="12849" max="12849" width="9.140625" style="191"/>
    <col min="12850" max="12850" width="17" style="191" bestFit="1" customWidth="1"/>
    <col min="12851" max="12852" width="9.140625" style="191"/>
    <col min="12853" max="12853" width="14" style="191" bestFit="1" customWidth="1"/>
    <col min="12854" max="12854" width="12" style="191" bestFit="1" customWidth="1"/>
    <col min="12855" max="12855" width="12.5703125" style="191" bestFit="1" customWidth="1"/>
    <col min="12856" max="12856" width="14" style="191" bestFit="1" customWidth="1"/>
    <col min="12857" max="12857" width="19" style="191" bestFit="1" customWidth="1"/>
    <col min="12858" max="12858" width="15.7109375" style="191" bestFit="1" customWidth="1"/>
    <col min="12859" max="12859" width="22.28515625" style="191" bestFit="1" customWidth="1"/>
    <col min="12860" max="12860" width="10.5703125" style="191" bestFit="1" customWidth="1"/>
    <col min="12861" max="12861" width="14" style="191" bestFit="1" customWidth="1"/>
    <col min="12862" max="12862" width="14.85546875" style="191" bestFit="1" customWidth="1"/>
    <col min="12863" max="12863" width="11.28515625" style="191" bestFit="1" customWidth="1"/>
    <col min="12864" max="12864" width="14.7109375" style="191" bestFit="1" customWidth="1"/>
    <col min="12865" max="12865" width="11.5703125" style="191" bestFit="1" customWidth="1"/>
    <col min="12866" max="12866" width="18" style="191" bestFit="1" customWidth="1"/>
    <col min="12867" max="12867" width="7.42578125" style="191" bestFit="1" customWidth="1"/>
    <col min="12868" max="12868" width="14" style="191" bestFit="1" customWidth="1"/>
    <col min="12869" max="12873" width="14" style="191" customWidth="1"/>
    <col min="12874" max="12874" width="13.7109375" style="191" bestFit="1" customWidth="1"/>
    <col min="12875" max="12875" width="12.140625" style="191" bestFit="1" customWidth="1"/>
    <col min="12876" max="12876" width="10.5703125" style="191" bestFit="1" customWidth="1"/>
    <col min="12877" max="12878" width="18" style="191" bestFit="1" customWidth="1"/>
    <col min="12879" max="12879" width="8.7109375" style="191" bestFit="1" customWidth="1"/>
    <col min="12880" max="12880" width="14.5703125" style="191" bestFit="1" customWidth="1"/>
    <col min="12881" max="12881" width="15.140625" style="191" bestFit="1" customWidth="1"/>
    <col min="12882" max="12882" width="14.42578125" style="191" bestFit="1" customWidth="1"/>
    <col min="12883" max="12883" width="18.140625" style="191" bestFit="1" customWidth="1"/>
    <col min="12884" max="12884" width="11.28515625" style="191" bestFit="1" customWidth="1"/>
    <col min="12885" max="12885" width="18.85546875" style="191" bestFit="1" customWidth="1"/>
    <col min="12886" max="12886" width="15.5703125" style="191" bestFit="1" customWidth="1"/>
    <col min="12887" max="12887" width="20.42578125" style="191" bestFit="1" customWidth="1"/>
    <col min="12888" max="12888" width="11.42578125" style="191" bestFit="1" customWidth="1"/>
    <col min="12889" max="12889" width="19.42578125" style="191" bestFit="1" customWidth="1"/>
    <col min="12890" max="12890" width="16.28515625" style="191" bestFit="1" customWidth="1"/>
    <col min="12891" max="12891" width="11.42578125" style="191" bestFit="1" customWidth="1"/>
    <col min="12892" max="12892" width="7.5703125" style="191" bestFit="1" customWidth="1"/>
    <col min="12893" max="12893" width="18" style="191" bestFit="1" customWidth="1"/>
    <col min="12894" max="12894" width="14.5703125" style="191" bestFit="1" customWidth="1"/>
    <col min="12895" max="12895" width="14.42578125" style="191" bestFit="1" customWidth="1"/>
    <col min="12896" max="12896" width="12.85546875" style="191" bestFit="1" customWidth="1"/>
    <col min="12897" max="12897" width="8.140625" style="191" bestFit="1" customWidth="1"/>
    <col min="12898" max="12898" width="7.7109375" style="191" bestFit="1" customWidth="1"/>
    <col min="12899" max="12899" width="18.85546875" style="191" bestFit="1" customWidth="1"/>
    <col min="12900" max="12900" width="13.7109375" style="191" bestFit="1" customWidth="1"/>
    <col min="12901" max="12901" width="7.5703125" style="191" bestFit="1" customWidth="1"/>
    <col min="12902" max="12902" width="10.85546875" style="191" bestFit="1" customWidth="1"/>
    <col min="12903" max="12903" width="12.85546875" style="191" bestFit="1" customWidth="1"/>
    <col min="12904" max="12908" width="14" style="191" customWidth="1"/>
    <col min="12909" max="12909" width="15.42578125" style="191" bestFit="1" customWidth="1"/>
    <col min="12910" max="12910" width="13.140625" style="191" bestFit="1" customWidth="1"/>
    <col min="12911" max="12911" width="18.140625" style="191" bestFit="1" customWidth="1"/>
    <col min="12912" max="12913" width="15.42578125" style="191" bestFit="1" customWidth="1"/>
    <col min="12914" max="12914" width="9.7109375" style="191" bestFit="1" customWidth="1"/>
    <col min="12915" max="12915" width="15.85546875" style="191" bestFit="1" customWidth="1"/>
    <col min="12916" max="12920" width="14" style="191" customWidth="1"/>
    <col min="12921" max="12921" width="18.42578125" style="191" bestFit="1" customWidth="1"/>
    <col min="12922" max="12922" width="15.140625" style="191" bestFit="1" customWidth="1"/>
    <col min="12923" max="12923" width="15" style="191" bestFit="1" customWidth="1"/>
    <col min="12924" max="12924" width="18.140625" style="191" bestFit="1" customWidth="1"/>
    <col min="12925" max="12925" width="8.7109375" style="191" bestFit="1" customWidth="1"/>
    <col min="12926" max="12926" width="18.42578125" style="191" bestFit="1" customWidth="1"/>
    <col min="12927" max="12927" width="14.85546875" style="191" bestFit="1" customWidth="1"/>
    <col min="12928" max="12928" width="14.140625" style="191" bestFit="1" customWidth="1"/>
    <col min="12929" max="12929" width="13.42578125" style="191" bestFit="1" customWidth="1"/>
    <col min="12930" max="12930" width="8.7109375" style="191" bestFit="1" customWidth="1"/>
    <col min="12931" max="12931" width="15.42578125" style="191" bestFit="1" customWidth="1"/>
    <col min="12932" max="12932" width="12.85546875" style="191" bestFit="1" customWidth="1"/>
    <col min="12933" max="12933" width="15.42578125" style="191" bestFit="1" customWidth="1"/>
    <col min="12934" max="12934" width="19.85546875" style="191" bestFit="1" customWidth="1"/>
    <col min="12935" max="12935" width="10.5703125" style="191" bestFit="1" customWidth="1"/>
    <col min="12936" max="12936" width="19.85546875" style="191" bestFit="1" customWidth="1"/>
    <col min="12937" max="12937" width="15.28515625" style="191" bestFit="1" customWidth="1"/>
    <col min="12938" max="12938" width="15.85546875" style="191" bestFit="1" customWidth="1"/>
    <col min="12939" max="12939" width="17.42578125" style="191" bestFit="1" customWidth="1"/>
    <col min="12940" max="12940" width="14" style="191" bestFit="1" customWidth="1"/>
    <col min="12941" max="12947" width="14" style="191" customWidth="1"/>
    <col min="12948" max="12948" width="17.42578125" style="191" bestFit="1" customWidth="1"/>
    <col min="12949" max="12949" width="14" style="191" customWidth="1"/>
    <col min="12950" max="12950" width="9.5703125" style="191" bestFit="1" customWidth="1"/>
    <col min="12951" max="12951" width="15.5703125" style="191" bestFit="1" customWidth="1"/>
    <col min="12952" max="12952" width="16.5703125" style="191" bestFit="1" customWidth="1"/>
    <col min="12953" max="12953" width="14" style="191" customWidth="1"/>
    <col min="12954" max="12954" width="9.5703125" style="191" bestFit="1" customWidth="1"/>
    <col min="12955" max="12955" width="15.5703125" style="191" bestFit="1" customWidth="1"/>
    <col min="12956" max="12956" width="16.5703125" style="191" bestFit="1" customWidth="1"/>
    <col min="12957" max="12957" width="14.140625" style="191" bestFit="1" customWidth="1"/>
    <col min="12958" max="12962" width="14" style="191" customWidth="1"/>
    <col min="12963" max="13078" width="9.140625" style="191"/>
    <col min="13079" max="13079" width="0.140625" style="191" customWidth="1"/>
    <col min="13080" max="13080" width="17.140625" style="191" customWidth="1"/>
    <col min="13081" max="13081" width="8.5703125" style="191" customWidth="1"/>
    <col min="13082" max="13090" width="0" style="191" hidden="1" customWidth="1"/>
    <col min="13091" max="13091" width="5.140625" style="191" customWidth="1"/>
    <col min="13092" max="13092" width="0" style="191" hidden="1" customWidth="1"/>
    <col min="13093" max="13093" width="4.140625" style="191" customWidth="1"/>
    <col min="13094" max="13094" width="1.7109375" style="191" customWidth="1"/>
    <col min="13095" max="13095" width="5.28515625" style="191" customWidth="1"/>
    <col min="13096" max="13096" width="12.85546875" style="191" bestFit="1" customWidth="1"/>
    <col min="13097" max="13097" width="12.85546875" style="191" customWidth="1"/>
    <col min="13098" max="13101" width="9.140625" style="191"/>
    <col min="13102" max="13102" width="27.85546875" style="191" bestFit="1" customWidth="1"/>
    <col min="13103" max="13104" width="12.7109375" style="191" customWidth="1"/>
    <col min="13105" max="13105" width="9.140625" style="191"/>
    <col min="13106" max="13106" width="17" style="191" bestFit="1" customWidth="1"/>
    <col min="13107" max="13108" width="9.140625" style="191"/>
    <col min="13109" max="13109" width="14" style="191" bestFit="1" customWidth="1"/>
    <col min="13110" max="13110" width="12" style="191" bestFit="1" customWidth="1"/>
    <col min="13111" max="13111" width="12.5703125" style="191" bestFit="1" customWidth="1"/>
    <col min="13112" max="13112" width="14" style="191" bestFit="1" customWidth="1"/>
    <col min="13113" max="13113" width="19" style="191" bestFit="1" customWidth="1"/>
    <col min="13114" max="13114" width="15.7109375" style="191" bestFit="1" customWidth="1"/>
    <col min="13115" max="13115" width="22.28515625" style="191" bestFit="1" customWidth="1"/>
    <col min="13116" max="13116" width="10.5703125" style="191" bestFit="1" customWidth="1"/>
    <col min="13117" max="13117" width="14" style="191" bestFit="1" customWidth="1"/>
    <col min="13118" max="13118" width="14.85546875" style="191" bestFit="1" customWidth="1"/>
    <col min="13119" max="13119" width="11.28515625" style="191" bestFit="1" customWidth="1"/>
    <col min="13120" max="13120" width="14.7109375" style="191" bestFit="1" customWidth="1"/>
    <col min="13121" max="13121" width="11.5703125" style="191" bestFit="1" customWidth="1"/>
    <col min="13122" max="13122" width="18" style="191" bestFit="1" customWidth="1"/>
    <col min="13123" max="13123" width="7.42578125" style="191" bestFit="1" customWidth="1"/>
    <col min="13124" max="13124" width="14" style="191" bestFit="1" customWidth="1"/>
    <col min="13125" max="13129" width="14" style="191" customWidth="1"/>
    <col min="13130" max="13130" width="13.7109375" style="191" bestFit="1" customWidth="1"/>
    <col min="13131" max="13131" width="12.140625" style="191" bestFit="1" customWidth="1"/>
    <col min="13132" max="13132" width="10.5703125" style="191" bestFit="1" customWidth="1"/>
    <col min="13133" max="13134" width="18" style="191" bestFit="1" customWidth="1"/>
    <col min="13135" max="13135" width="8.7109375" style="191" bestFit="1" customWidth="1"/>
    <col min="13136" max="13136" width="14.5703125" style="191" bestFit="1" customWidth="1"/>
    <col min="13137" max="13137" width="15.140625" style="191" bestFit="1" customWidth="1"/>
    <col min="13138" max="13138" width="14.42578125" style="191" bestFit="1" customWidth="1"/>
    <col min="13139" max="13139" width="18.140625" style="191" bestFit="1" customWidth="1"/>
    <col min="13140" max="13140" width="11.28515625" style="191" bestFit="1" customWidth="1"/>
    <col min="13141" max="13141" width="18.85546875" style="191" bestFit="1" customWidth="1"/>
    <col min="13142" max="13142" width="15.5703125" style="191" bestFit="1" customWidth="1"/>
    <col min="13143" max="13143" width="20.42578125" style="191" bestFit="1" customWidth="1"/>
    <col min="13144" max="13144" width="11.42578125" style="191" bestFit="1" customWidth="1"/>
    <col min="13145" max="13145" width="19.42578125" style="191" bestFit="1" customWidth="1"/>
    <col min="13146" max="13146" width="16.28515625" style="191" bestFit="1" customWidth="1"/>
    <col min="13147" max="13147" width="11.42578125" style="191" bestFit="1" customWidth="1"/>
    <col min="13148" max="13148" width="7.5703125" style="191" bestFit="1" customWidth="1"/>
    <col min="13149" max="13149" width="18" style="191" bestFit="1" customWidth="1"/>
    <col min="13150" max="13150" width="14.5703125" style="191" bestFit="1" customWidth="1"/>
    <col min="13151" max="13151" width="14.42578125" style="191" bestFit="1" customWidth="1"/>
    <col min="13152" max="13152" width="12.85546875" style="191" bestFit="1" customWidth="1"/>
    <col min="13153" max="13153" width="8.140625" style="191" bestFit="1" customWidth="1"/>
    <col min="13154" max="13154" width="7.7109375" style="191" bestFit="1" customWidth="1"/>
    <col min="13155" max="13155" width="18.85546875" style="191" bestFit="1" customWidth="1"/>
    <col min="13156" max="13156" width="13.7109375" style="191" bestFit="1" customWidth="1"/>
    <col min="13157" max="13157" width="7.5703125" style="191" bestFit="1" customWidth="1"/>
    <col min="13158" max="13158" width="10.85546875" style="191" bestFit="1" customWidth="1"/>
    <col min="13159" max="13159" width="12.85546875" style="191" bestFit="1" customWidth="1"/>
    <col min="13160" max="13164" width="14" style="191" customWidth="1"/>
    <col min="13165" max="13165" width="15.42578125" style="191" bestFit="1" customWidth="1"/>
    <col min="13166" max="13166" width="13.140625" style="191" bestFit="1" customWidth="1"/>
    <col min="13167" max="13167" width="18.140625" style="191" bestFit="1" customWidth="1"/>
    <col min="13168" max="13169" width="15.42578125" style="191" bestFit="1" customWidth="1"/>
    <col min="13170" max="13170" width="9.7109375" style="191" bestFit="1" customWidth="1"/>
    <col min="13171" max="13171" width="15.85546875" style="191" bestFit="1" customWidth="1"/>
    <col min="13172" max="13176" width="14" style="191" customWidth="1"/>
    <col min="13177" max="13177" width="18.42578125" style="191" bestFit="1" customWidth="1"/>
    <col min="13178" max="13178" width="15.140625" style="191" bestFit="1" customWidth="1"/>
    <col min="13179" max="13179" width="15" style="191" bestFit="1" customWidth="1"/>
    <col min="13180" max="13180" width="18.140625" style="191" bestFit="1" customWidth="1"/>
    <col min="13181" max="13181" width="8.7109375" style="191" bestFit="1" customWidth="1"/>
    <col min="13182" max="13182" width="18.42578125" style="191" bestFit="1" customWidth="1"/>
    <col min="13183" max="13183" width="14.85546875" style="191" bestFit="1" customWidth="1"/>
    <col min="13184" max="13184" width="14.140625" style="191" bestFit="1" customWidth="1"/>
    <col min="13185" max="13185" width="13.42578125" style="191" bestFit="1" customWidth="1"/>
    <col min="13186" max="13186" width="8.7109375" style="191" bestFit="1" customWidth="1"/>
    <col min="13187" max="13187" width="15.42578125" style="191" bestFit="1" customWidth="1"/>
    <col min="13188" max="13188" width="12.85546875" style="191" bestFit="1" customWidth="1"/>
    <col min="13189" max="13189" width="15.42578125" style="191" bestFit="1" customWidth="1"/>
    <col min="13190" max="13190" width="19.85546875" style="191" bestFit="1" customWidth="1"/>
    <col min="13191" max="13191" width="10.5703125" style="191" bestFit="1" customWidth="1"/>
    <col min="13192" max="13192" width="19.85546875" style="191" bestFit="1" customWidth="1"/>
    <col min="13193" max="13193" width="15.28515625" style="191" bestFit="1" customWidth="1"/>
    <col min="13194" max="13194" width="15.85546875" style="191" bestFit="1" customWidth="1"/>
    <col min="13195" max="13195" width="17.42578125" style="191" bestFit="1" customWidth="1"/>
    <col min="13196" max="13196" width="14" style="191" bestFit="1" customWidth="1"/>
    <col min="13197" max="13203" width="14" style="191" customWidth="1"/>
    <col min="13204" max="13204" width="17.42578125" style="191" bestFit="1" customWidth="1"/>
    <col min="13205" max="13205" width="14" style="191" customWidth="1"/>
    <col min="13206" max="13206" width="9.5703125" style="191" bestFit="1" customWidth="1"/>
    <col min="13207" max="13207" width="15.5703125" style="191" bestFit="1" customWidth="1"/>
    <col min="13208" max="13208" width="16.5703125" style="191" bestFit="1" customWidth="1"/>
    <col min="13209" max="13209" width="14" style="191" customWidth="1"/>
    <col min="13210" max="13210" width="9.5703125" style="191" bestFit="1" customWidth="1"/>
    <col min="13211" max="13211" width="15.5703125" style="191" bestFit="1" customWidth="1"/>
    <col min="13212" max="13212" width="16.5703125" style="191" bestFit="1" customWidth="1"/>
    <col min="13213" max="13213" width="14.140625" style="191" bestFit="1" customWidth="1"/>
    <col min="13214" max="13218" width="14" style="191" customWidth="1"/>
    <col min="13219" max="13334" width="9.140625" style="191"/>
    <col min="13335" max="13335" width="0.140625" style="191" customWidth="1"/>
    <col min="13336" max="13336" width="17.140625" style="191" customWidth="1"/>
    <col min="13337" max="13337" width="8.5703125" style="191" customWidth="1"/>
    <col min="13338" max="13346" width="0" style="191" hidden="1" customWidth="1"/>
    <col min="13347" max="13347" width="5.140625" style="191" customWidth="1"/>
    <col min="13348" max="13348" width="0" style="191" hidden="1" customWidth="1"/>
    <col min="13349" max="13349" width="4.140625" style="191" customWidth="1"/>
    <col min="13350" max="13350" width="1.7109375" style="191" customWidth="1"/>
    <col min="13351" max="13351" width="5.28515625" style="191" customWidth="1"/>
    <col min="13352" max="13352" width="12.85546875" style="191" bestFit="1" customWidth="1"/>
    <col min="13353" max="13353" width="12.85546875" style="191" customWidth="1"/>
    <col min="13354" max="13357" width="9.140625" style="191"/>
    <col min="13358" max="13358" width="27.85546875" style="191" bestFit="1" customWidth="1"/>
    <col min="13359" max="13360" width="12.7109375" style="191" customWidth="1"/>
    <col min="13361" max="13361" width="9.140625" style="191"/>
    <col min="13362" max="13362" width="17" style="191" bestFit="1" customWidth="1"/>
    <col min="13363" max="13364" width="9.140625" style="191"/>
    <col min="13365" max="13365" width="14" style="191" bestFit="1" customWidth="1"/>
    <col min="13366" max="13366" width="12" style="191" bestFit="1" customWidth="1"/>
    <col min="13367" max="13367" width="12.5703125" style="191" bestFit="1" customWidth="1"/>
    <col min="13368" max="13368" width="14" style="191" bestFit="1" customWidth="1"/>
    <col min="13369" max="13369" width="19" style="191" bestFit="1" customWidth="1"/>
    <col min="13370" max="13370" width="15.7109375" style="191" bestFit="1" customWidth="1"/>
    <col min="13371" max="13371" width="22.28515625" style="191" bestFit="1" customWidth="1"/>
    <col min="13372" max="13372" width="10.5703125" style="191" bestFit="1" customWidth="1"/>
    <col min="13373" max="13373" width="14" style="191" bestFit="1" customWidth="1"/>
    <col min="13374" max="13374" width="14.85546875" style="191" bestFit="1" customWidth="1"/>
    <col min="13375" max="13375" width="11.28515625" style="191" bestFit="1" customWidth="1"/>
    <col min="13376" max="13376" width="14.7109375" style="191" bestFit="1" customWidth="1"/>
    <col min="13377" max="13377" width="11.5703125" style="191" bestFit="1" customWidth="1"/>
    <col min="13378" max="13378" width="18" style="191" bestFit="1" customWidth="1"/>
    <col min="13379" max="13379" width="7.42578125" style="191" bestFit="1" customWidth="1"/>
    <col min="13380" max="13380" width="14" style="191" bestFit="1" customWidth="1"/>
    <col min="13381" max="13385" width="14" style="191" customWidth="1"/>
    <col min="13386" max="13386" width="13.7109375" style="191" bestFit="1" customWidth="1"/>
    <col min="13387" max="13387" width="12.140625" style="191" bestFit="1" customWidth="1"/>
    <col min="13388" max="13388" width="10.5703125" style="191" bestFit="1" customWidth="1"/>
    <col min="13389" max="13390" width="18" style="191" bestFit="1" customWidth="1"/>
    <col min="13391" max="13391" width="8.7109375" style="191" bestFit="1" customWidth="1"/>
    <col min="13392" max="13392" width="14.5703125" style="191" bestFit="1" customWidth="1"/>
    <col min="13393" max="13393" width="15.140625" style="191" bestFit="1" customWidth="1"/>
    <col min="13394" max="13394" width="14.42578125" style="191" bestFit="1" customWidth="1"/>
    <col min="13395" max="13395" width="18.140625" style="191" bestFit="1" customWidth="1"/>
    <col min="13396" max="13396" width="11.28515625" style="191" bestFit="1" customWidth="1"/>
    <col min="13397" max="13397" width="18.85546875" style="191" bestFit="1" customWidth="1"/>
    <col min="13398" max="13398" width="15.5703125" style="191" bestFit="1" customWidth="1"/>
    <col min="13399" max="13399" width="20.42578125" style="191" bestFit="1" customWidth="1"/>
    <col min="13400" max="13400" width="11.42578125" style="191" bestFit="1" customWidth="1"/>
    <col min="13401" max="13401" width="19.42578125" style="191" bestFit="1" customWidth="1"/>
    <col min="13402" max="13402" width="16.28515625" style="191" bestFit="1" customWidth="1"/>
    <col min="13403" max="13403" width="11.42578125" style="191" bestFit="1" customWidth="1"/>
    <col min="13404" max="13404" width="7.5703125" style="191" bestFit="1" customWidth="1"/>
    <col min="13405" max="13405" width="18" style="191" bestFit="1" customWidth="1"/>
    <col min="13406" max="13406" width="14.5703125" style="191" bestFit="1" customWidth="1"/>
    <col min="13407" max="13407" width="14.42578125" style="191" bestFit="1" customWidth="1"/>
    <col min="13408" max="13408" width="12.85546875" style="191" bestFit="1" customWidth="1"/>
    <col min="13409" max="13409" width="8.140625" style="191" bestFit="1" customWidth="1"/>
    <col min="13410" max="13410" width="7.7109375" style="191" bestFit="1" customWidth="1"/>
    <col min="13411" max="13411" width="18.85546875" style="191" bestFit="1" customWidth="1"/>
    <col min="13412" max="13412" width="13.7109375" style="191" bestFit="1" customWidth="1"/>
    <col min="13413" max="13413" width="7.5703125" style="191" bestFit="1" customWidth="1"/>
    <col min="13414" max="13414" width="10.85546875" style="191" bestFit="1" customWidth="1"/>
    <col min="13415" max="13415" width="12.85546875" style="191" bestFit="1" customWidth="1"/>
    <col min="13416" max="13420" width="14" style="191" customWidth="1"/>
    <col min="13421" max="13421" width="15.42578125" style="191" bestFit="1" customWidth="1"/>
    <col min="13422" max="13422" width="13.140625" style="191" bestFit="1" customWidth="1"/>
    <col min="13423" max="13423" width="18.140625" style="191" bestFit="1" customWidth="1"/>
    <col min="13424" max="13425" width="15.42578125" style="191" bestFit="1" customWidth="1"/>
    <col min="13426" max="13426" width="9.7109375" style="191" bestFit="1" customWidth="1"/>
    <col min="13427" max="13427" width="15.85546875" style="191" bestFit="1" customWidth="1"/>
    <col min="13428" max="13432" width="14" style="191" customWidth="1"/>
    <col min="13433" max="13433" width="18.42578125" style="191" bestFit="1" customWidth="1"/>
    <col min="13434" max="13434" width="15.140625" style="191" bestFit="1" customWidth="1"/>
    <col min="13435" max="13435" width="15" style="191" bestFit="1" customWidth="1"/>
    <col min="13436" max="13436" width="18.140625" style="191" bestFit="1" customWidth="1"/>
    <col min="13437" max="13437" width="8.7109375" style="191" bestFit="1" customWidth="1"/>
    <col min="13438" max="13438" width="18.42578125" style="191" bestFit="1" customWidth="1"/>
    <col min="13439" max="13439" width="14.85546875" style="191" bestFit="1" customWidth="1"/>
    <col min="13440" max="13440" width="14.140625" style="191" bestFit="1" customWidth="1"/>
    <col min="13441" max="13441" width="13.42578125" style="191" bestFit="1" customWidth="1"/>
    <col min="13442" max="13442" width="8.7109375" style="191" bestFit="1" customWidth="1"/>
    <col min="13443" max="13443" width="15.42578125" style="191" bestFit="1" customWidth="1"/>
    <col min="13444" max="13444" width="12.85546875" style="191" bestFit="1" customWidth="1"/>
    <col min="13445" max="13445" width="15.42578125" style="191" bestFit="1" customWidth="1"/>
    <col min="13446" max="13446" width="19.85546875" style="191" bestFit="1" customWidth="1"/>
    <col min="13447" max="13447" width="10.5703125" style="191" bestFit="1" customWidth="1"/>
    <col min="13448" max="13448" width="19.85546875" style="191" bestFit="1" customWidth="1"/>
    <col min="13449" max="13449" width="15.28515625" style="191" bestFit="1" customWidth="1"/>
    <col min="13450" max="13450" width="15.85546875" style="191" bestFit="1" customWidth="1"/>
    <col min="13451" max="13451" width="17.42578125" style="191" bestFit="1" customWidth="1"/>
    <col min="13452" max="13452" width="14" style="191" bestFit="1" customWidth="1"/>
    <col min="13453" max="13459" width="14" style="191" customWidth="1"/>
    <col min="13460" max="13460" width="17.42578125" style="191" bestFit="1" customWidth="1"/>
    <col min="13461" max="13461" width="14" style="191" customWidth="1"/>
    <col min="13462" max="13462" width="9.5703125" style="191" bestFit="1" customWidth="1"/>
    <col min="13463" max="13463" width="15.5703125" style="191" bestFit="1" customWidth="1"/>
    <col min="13464" max="13464" width="16.5703125" style="191" bestFit="1" customWidth="1"/>
    <col min="13465" max="13465" width="14" style="191" customWidth="1"/>
    <col min="13466" max="13466" width="9.5703125" style="191" bestFit="1" customWidth="1"/>
    <col min="13467" max="13467" width="15.5703125" style="191" bestFit="1" customWidth="1"/>
    <col min="13468" max="13468" width="16.5703125" style="191" bestFit="1" customWidth="1"/>
    <col min="13469" max="13469" width="14.140625" style="191" bestFit="1" customWidth="1"/>
    <col min="13470" max="13474" width="14" style="191" customWidth="1"/>
    <col min="13475" max="13590" width="9.140625" style="191"/>
    <col min="13591" max="13591" width="0.140625" style="191" customWidth="1"/>
    <col min="13592" max="13592" width="17.140625" style="191" customWidth="1"/>
    <col min="13593" max="13593" width="8.5703125" style="191" customWidth="1"/>
    <col min="13594" max="13602" width="0" style="191" hidden="1" customWidth="1"/>
    <col min="13603" max="13603" width="5.140625" style="191" customWidth="1"/>
    <col min="13604" max="13604" width="0" style="191" hidden="1" customWidth="1"/>
    <col min="13605" max="13605" width="4.140625" style="191" customWidth="1"/>
    <col min="13606" max="13606" width="1.7109375" style="191" customWidth="1"/>
    <col min="13607" max="13607" width="5.28515625" style="191" customWidth="1"/>
    <col min="13608" max="13608" width="12.85546875" style="191" bestFit="1" customWidth="1"/>
    <col min="13609" max="13609" width="12.85546875" style="191" customWidth="1"/>
    <col min="13610" max="13613" width="9.140625" style="191"/>
    <col min="13614" max="13614" width="27.85546875" style="191" bestFit="1" customWidth="1"/>
    <col min="13615" max="13616" width="12.7109375" style="191" customWidth="1"/>
    <col min="13617" max="13617" width="9.140625" style="191"/>
    <col min="13618" max="13618" width="17" style="191" bestFit="1" customWidth="1"/>
    <col min="13619" max="13620" width="9.140625" style="191"/>
    <col min="13621" max="13621" width="14" style="191" bestFit="1" customWidth="1"/>
    <col min="13622" max="13622" width="12" style="191" bestFit="1" customWidth="1"/>
    <col min="13623" max="13623" width="12.5703125" style="191" bestFit="1" customWidth="1"/>
    <col min="13624" max="13624" width="14" style="191" bestFit="1" customWidth="1"/>
    <col min="13625" max="13625" width="19" style="191" bestFit="1" customWidth="1"/>
    <col min="13626" max="13626" width="15.7109375" style="191" bestFit="1" customWidth="1"/>
    <col min="13627" max="13627" width="22.28515625" style="191" bestFit="1" customWidth="1"/>
    <col min="13628" max="13628" width="10.5703125" style="191" bestFit="1" customWidth="1"/>
    <col min="13629" max="13629" width="14" style="191" bestFit="1" customWidth="1"/>
    <col min="13630" max="13630" width="14.85546875" style="191" bestFit="1" customWidth="1"/>
    <col min="13631" max="13631" width="11.28515625" style="191" bestFit="1" customWidth="1"/>
    <col min="13632" max="13632" width="14.7109375" style="191" bestFit="1" customWidth="1"/>
    <col min="13633" max="13633" width="11.5703125" style="191" bestFit="1" customWidth="1"/>
    <col min="13634" max="13634" width="18" style="191" bestFit="1" customWidth="1"/>
    <col min="13635" max="13635" width="7.42578125" style="191" bestFit="1" customWidth="1"/>
    <col min="13636" max="13636" width="14" style="191" bestFit="1" customWidth="1"/>
    <col min="13637" max="13641" width="14" style="191" customWidth="1"/>
    <col min="13642" max="13642" width="13.7109375" style="191" bestFit="1" customWidth="1"/>
    <col min="13643" max="13643" width="12.140625" style="191" bestFit="1" customWidth="1"/>
    <col min="13644" max="13644" width="10.5703125" style="191" bestFit="1" customWidth="1"/>
    <col min="13645" max="13646" width="18" style="191" bestFit="1" customWidth="1"/>
    <col min="13647" max="13647" width="8.7109375" style="191" bestFit="1" customWidth="1"/>
    <col min="13648" max="13648" width="14.5703125" style="191" bestFit="1" customWidth="1"/>
    <col min="13649" max="13649" width="15.140625" style="191" bestFit="1" customWidth="1"/>
    <col min="13650" max="13650" width="14.42578125" style="191" bestFit="1" customWidth="1"/>
    <col min="13651" max="13651" width="18.140625" style="191" bestFit="1" customWidth="1"/>
    <col min="13652" max="13652" width="11.28515625" style="191" bestFit="1" customWidth="1"/>
    <col min="13653" max="13653" width="18.85546875" style="191" bestFit="1" customWidth="1"/>
    <col min="13654" max="13654" width="15.5703125" style="191" bestFit="1" customWidth="1"/>
    <col min="13655" max="13655" width="20.42578125" style="191" bestFit="1" customWidth="1"/>
    <col min="13656" max="13656" width="11.42578125" style="191" bestFit="1" customWidth="1"/>
    <col min="13657" max="13657" width="19.42578125" style="191" bestFit="1" customWidth="1"/>
    <col min="13658" max="13658" width="16.28515625" style="191" bestFit="1" customWidth="1"/>
    <col min="13659" max="13659" width="11.42578125" style="191" bestFit="1" customWidth="1"/>
    <col min="13660" max="13660" width="7.5703125" style="191" bestFit="1" customWidth="1"/>
    <col min="13661" max="13661" width="18" style="191" bestFit="1" customWidth="1"/>
    <col min="13662" max="13662" width="14.5703125" style="191" bestFit="1" customWidth="1"/>
    <col min="13663" max="13663" width="14.42578125" style="191" bestFit="1" customWidth="1"/>
    <col min="13664" max="13664" width="12.85546875" style="191" bestFit="1" customWidth="1"/>
    <col min="13665" max="13665" width="8.140625" style="191" bestFit="1" customWidth="1"/>
    <col min="13666" max="13666" width="7.7109375" style="191" bestFit="1" customWidth="1"/>
    <col min="13667" max="13667" width="18.85546875" style="191" bestFit="1" customWidth="1"/>
    <col min="13668" max="13668" width="13.7109375" style="191" bestFit="1" customWidth="1"/>
    <col min="13669" max="13669" width="7.5703125" style="191" bestFit="1" customWidth="1"/>
    <col min="13670" max="13670" width="10.85546875" style="191" bestFit="1" customWidth="1"/>
    <col min="13671" max="13671" width="12.85546875" style="191" bestFit="1" customWidth="1"/>
    <col min="13672" max="13676" width="14" style="191" customWidth="1"/>
    <col min="13677" max="13677" width="15.42578125" style="191" bestFit="1" customWidth="1"/>
    <col min="13678" max="13678" width="13.140625" style="191" bestFit="1" customWidth="1"/>
    <col min="13679" max="13679" width="18.140625" style="191" bestFit="1" customWidth="1"/>
    <col min="13680" max="13681" width="15.42578125" style="191" bestFit="1" customWidth="1"/>
    <col min="13682" max="13682" width="9.7109375" style="191" bestFit="1" customWidth="1"/>
    <col min="13683" max="13683" width="15.85546875" style="191" bestFit="1" customWidth="1"/>
    <col min="13684" max="13688" width="14" style="191" customWidth="1"/>
    <col min="13689" max="13689" width="18.42578125" style="191" bestFit="1" customWidth="1"/>
    <col min="13690" max="13690" width="15.140625" style="191" bestFit="1" customWidth="1"/>
    <col min="13691" max="13691" width="15" style="191" bestFit="1" customWidth="1"/>
    <col min="13692" max="13692" width="18.140625" style="191" bestFit="1" customWidth="1"/>
    <col min="13693" max="13693" width="8.7109375" style="191" bestFit="1" customWidth="1"/>
    <col min="13694" max="13694" width="18.42578125" style="191" bestFit="1" customWidth="1"/>
    <col min="13695" max="13695" width="14.85546875" style="191" bestFit="1" customWidth="1"/>
    <col min="13696" max="13696" width="14.140625" style="191" bestFit="1" customWidth="1"/>
    <col min="13697" max="13697" width="13.42578125" style="191" bestFit="1" customWidth="1"/>
    <col min="13698" max="13698" width="8.7109375" style="191" bestFit="1" customWidth="1"/>
    <col min="13699" max="13699" width="15.42578125" style="191" bestFit="1" customWidth="1"/>
    <col min="13700" max="13700" width="12.85546875" style="191" bestFit="1" customWidth="1"/>
    <col min="13701" max="13701" width="15.42578125" style="191" bestFit="1" customWidth="1"/>
    <col min="13702" max="13702" width="19.85546875" style="191" bestFit="1" customWidth="1"/>
    <col min="13703" max="13703" width="10.5703125" style="191" bestFit="1" customWidth="1"/>
    <col min="13704" max="13704" width="19.85546875" style="191" bestFit="1" customWidth="1"/>
    <col min="13705" max="13705" width="15.28515625" style="191" bestFit="1" customWidth="1"/>
    <col min="13706" max="13706" width="15.85546875" style="191" bestFit="1" customWidth="1"/>
    <col min="13707" max="13707" width="17.42578125" style="191" bestFit="1" customWidth="1"/>
    <col min="13708" max="13708" width="14" style="191" bestFit="1" customWidth="1"/>
    <col min="13709" max="13715" width="14" style="191" customWidth="1"/>
    <col min="13716" max="13716" width="17.42578125" style="191" bestFit="1" customWidth="1"/>
    <col min="13717" max="13717" width="14" style="191" customWidth="1"/>
    <col min="13718" max="13718" width="9.5703125" style="191" bestFit="1" customWidth="1"/>
    <col min="13719" max="13719" width="15.5703125" style="191" bestFit="1" customWidth="1"/>
    <col min="13720" max="13720" width="16.5703125" style="191" bestFit="1" customWidth="1"/>
    <col min="13721" max="13721" width="14" style="191" customWidth="1"/>
    <col min="13722" max="13722" width="9.5703125" style="191" bestFit="1" customWidth="1"/>
    <col min="13723" max="13723" width="15.5703125" style="191" bestFit="1" customWidth="1"/>
    <col min="13724" max="13724" width="16.5703125" style="191" bestFit="1" customWidth="1"/>
    <col min="13725" max="13725" width="14.140625" style="191" bestFit="1" customWidth="1"/>
    <col min="13726" max="13730" width="14" style="191" customWidth="1"/>
    <col min="13731" max="13846" width="9.140625" style="191"/>
    <col min="13847" max="13847" width="0.140625" style="191" customWidth="1"/>
    <col min="13848" max="13848" width="17.140625" style="191" customWidth="1"/>
    <col min="13849" max="13849" width="8.5703125" style="191" customWidth="1"/>
    <col min="13850" max="13858" width="0" style="191" hidden="1" customWidth="1"/>
    <col min="13859" max="13859" width="5.140625" style="191" customWidth="1"/>
    <col min="13860" max="13860" width="0" style="191" hidden="1" customWidth="1"/>
    <col min="13861" max="13861" width="4.140625" style="191" customWidth="1"/>
    <col min="13862" max="13862" width="1.7109375" style="191" customWidth="1"/>
    <col min="13863" max="13863" width="5.28515625" style="191" customWidth="1"/>
    <col min="13864" max="13864" width="12.85546875" style="191" bestFit="1" customWidth="1"/>
    <col min="13865" max="13865" width="12.85546875" style="191" customWidth="1"/>
    <col min="13866" max="13869" width="9.140625" style="191"/>
    <col min="13870" max="13870" width="27.85546875" style="191" bestFit="1" customWidth="1"/>
    <col min="13871" max="13872" width="12.7109375" style="191" customWidth="1"/>
    <col min="13873" max="13873" width="9.140625" style="191"/>
    <col min="13874" max="13874" width="17" style="191" bestFit="1" customWidth="1"/>
    <col min="13875" max="13876" width="9.140625" style="191"/>
    <col min="13877" max="13877" width="14" style="191" bestFit="1" customWidth="1"/>
    <col min="13878" max="13878" width="12" style="191" bestFit="1" customWidth="1"/>
    <col min="13879" max="13879" width="12.5703125" style="191" bestFit="1" customWidth="1"/>
    <col min="13880" max="13880" width="14" style="191" bestFit="1" customWidth="1"/>
    <col min="13881" max="13881" width="19" style="191" bestFit="1" customWidth="1"/>
    <col min="13882" max="13882" width="15.7109375" style="191" bestFit="1" customWidth="1"/>
    <col min="13883" max="13883" width="22.28515625" style="191" bestFit="1" customWidth="1"/>
    <col min="13884" max="13884" width="10.5703125" style="191" bestFit="1" customWidth="1"/>
    <col min="13885" max="13885" width="14" style="191" bestFit="1" customWidth="1"/>
    <col min="13886" max="13886" width="14.85546875" style="191" bestFit="1" customWidth="1"/>
    <col min="13887" max="13887" width="11.28515625" style="191" bestFit="1" customWidth="1"/>
    <col min="13888" max="13888" width="14.7109375" style="191" bestFit="1" customWidth="1"/>
    <col min="13889" max="13889" width="11.5703125" style="191" bestFit="1" customWidth="1"/>
    <col min="13890" max="13890" width="18" style="191" bestFit="1" customWidth="1"/>
    <col min="13891" max="13891" width="7.42578125" style="191" bestFit="1" customWidth="1"/>
    <col min="13892" max="13892" width="14" style="191" bestFit="1" customWidth="1"/>
    <col min="13893" max="13897" width="14" style="191" customWidth="1"/>
    <col min="13898" max="13898" width="13.7109375" style="191" bestFit="1" customWidth="1"/>
    <col min="13899" max="13899" width="12.140625" style="191" bestFit="1" customWidth="1"/>
    <col min="13900" max="13900" width="10.5703125" style="191" bestFit="1" customWidth="1"/>
    <col min="13901" max="13902" width="18" style="191" bestFit="1" customWidth="1"/>
    <col min="13903" max="13903" width="8.7109375" style="191" bestFit="1" customWidth="1"/>
    <col min="13904" max="13904" width="14.5703125" style="191" bestFit="1" customWidth="1"/>
    <col min="13905" max="13905" width="15.140625" style="191" bestFit="1" customWidth="1"/>
    <col min="13906" max="13906" width="14.42578125" style="191" bestFit="1" customWidth="1"/>
    <col min="13907" max="13907" width="18.140625" style="191" bestFit="1" customWidth="1"/>
    <col min="13908" max="13908" width="11.28515625" style="191" bestFit="1" customWidth="1"/>
    <col min="13909" max="13909" width="18.85546875" style="191" bestFit="1" customWidth="1"/>
    <col min="13910" max="13910" width="15.5703125" style="191" bestFit="1" customWidth="1"/>
    <col min="13911" max="13911" width="20.42578125" style="191" bestFit="1" customWidth="1"/>
    <col min="13912" max="13912" width="11.42578125" style="191" bestFit="1" customWidth="1"/>
    <col min="13913" max="13913" width="19.42578125" style="191" bestFit="1" customWidth="1"/>
    <col min="13914" max="13914" width="16.28515625" style="191" bestFit="1" customWidth="1"/>
    <col min="13915" max="13915" width="11.42578125" style="191" bestFit="1" customWidth="1"/>
    <col min="13916" max="13916" width="7.5703125" style="191" bestFit="1" customWidth="1"/>
    <col min="13917" max="13917" width="18" style="191" bestFit="1" customWidth="1"/>
    <col min="13918" max="13918" width="14.5703125" style="191" bestFit="1" customWidth="1"/>
    <col min="13919" max="13919" width="14.42578125" style="191" bestFit="1" customWidth="1"/>
    <col min="13920" max="13920" width="12.85546875" style="191" bestFit="1" customWidth="1"/>
    <col min="13921" max="13921" width="8.140625" style="191" bestFit="1" customWidth="1"/>
    <col min="13922" max="13922" width="7.7109375" style="191" bestFit="1" customWidth="1"/>
    <col min="13923" max="13923" width="18.85546875" style="191" bestFit="1" customWidth="1"/>
    <col min="13924" max="13924" width="13.7109375" style="191" bestFit="1" customWidth="1"/>
    <col min="13925" max="13925" width="7.5703125" style="191" bestFit="1" customWidth="1"/>
    <col min="13926" max="13926" width="10.85546875" style="191" bestFit="1" customWidth="1"/>
    <col min="13927" max="13927" width="12.85546875" style="191" bestFit="1" customWidth="1"/>
    <col min="13928" max="13932" width="14" style="191" customWidth="1"/>
    <col min="13933" max="13933" width="15.42578125" style="191" bestFit="1" customWidth="1"/>
    <col min="13934" max="13934" width="13.140625" style="191" bestFit="1" customWidth="1"/>
    <col min="13935" max="13935" width="18.140625" style="191" bestFit="1" customWidth="1"/>
    <col min="13936" max="13937" width="15.42578125" style="191" bestFit="1" customWidth="1"/>
    <col min="13938" max="13938" width="9.7109375" style="191" bestFit="1" customWidth="1"/>
    <col min="13939" max="13939" width="15.85546875" style="191" bestFit="1" customWidth="1"/>
    <col min="13940" max="13944" width="14" style="191" customWidth="1"/>
    <col min="13945" max="13945" width="18.42578125" style="191" bestFit="1" customWidth="1"/>
    <col min="13946" max="13946" width="15.140625" style="191" bestFit="1" customWidth="1"/>
    <col min="13947" max="13947" width="15" style="191" bestFit="1" customWidth="1"/>
    <col min="13948" max="13948" width="18.140625" style="191" bestFit="1" customWidth="1"/>
    <col min="13949" max="13949" width="8.7109375" style="191" bestFit="1" customWidth="1"/>
    <col min="13950" max="13950" width="18.42578125" style="191" bestFit="1" customWidth="1"/>
    <col min="13951" max="13951" width="14.85546875" style="191" bestFit="1" customWidth="1"/>
    <col min="13952" max="13952" width="14.140625" style="191" bestFit="1" customWidth="1"/>
    <col min="13953" max="13953" width="13.42578125" style="191" bestFit="1" customWidth="1"/>
    <col min="13954" max="13954" width="8.7109375" style="191" bestFit="1" customWidth="1"/>
    <col min="13955" max="13955" width="15.42578125" style="191" bestFit="1" customWidth="1"/>
    <col min="13956" max="13956" width="12.85546875" style="191" bestFit="1" customWidth="1"/>
    <col min="13957" max="13957" width="15.42578125" style="191" bestFit="1" customWidth="1"/>
    <col min="13958" max="13958" width="19.85546875" style="191" bestFit="1" customWidth="1"/>
    <col min="13959" max="13959" width="10.5703125" style="191" bestFit="1" customWidth="1"/>
    <col min="13960" max="13960" width="19.85546875" style="191" bestFit="1" customWidth="1"/>
    <col min="13961" max="13961" width="15.28515625" style="191" bestFit="1" customWidth="1"/>
    <col min="13962" max="13962" width="15.85546875" style="191" bestFit="1" customWidth="1"/>
    <col min="13963" max="13963" width="17.42578125" style="191" bestFit="1" customWidth="1"/>
    <col min="13964" max="13964" width="14" style="191" bestFit="1" customWidth="1"/>
    <col min="13965" max="13971" width="14" style="191" customWidth="1"/>
    <col min="13972" max="13972" width="17.42578125" style="191" bestFit="1" customWidth="1"/>
    <col min="13973" max="13973" width="14" style="191" customWidth="1"/>
    <col min="13974" max="13974" width="9.5703125" style="191" bestFit="1" customWidth="1"/>
    <col min="13975" max="13975" width="15.5703125" style="191" bestFit="1" customWidth="1"/>
    <col min="13976" max="13976" width="16.5703125" style="191" bestFit="1" customWidth="1"/>
    <col min="13977" max="13977" width="14" style="191" customWidth="1"/>
    <col min="13978" max="13978" width="9.5703125" style="191" bestFit="1" customWidth="1"/>
    <col min="13979" max="13979" width="15.5703125" style="191" bestFit="1" customWidth="1"/>
    <col min="13980" max="13980" width="16.5703125" style="191" bestFit="1" customWidth="1"/>
    <col min="13981" max="13981" width="14.140625" style="191" bestFit="1" customWidth="1"/>
    <col min="13982" max="13986" width="14" style="191" customWidth="1"/>
    <col min="13987" max="14102" width="9.140625" style="191"/>
    <col min="14103" max="14103" width="0.140625" style="191" customWidth="1"/>
    <col min="14104" max="14104" width="17.140625" style="191" customWidth="1"/>
    <col min="14105" max="14105" width="8.5703125" style="191" customWidth="1"/>
    <col min="14106" max="14114" width="0" style="191" hidden="1" customWidth="1"/>
    <col min="14115" max="14115" width="5.140625" style="191" customWidth="1"/>
    <col min="14116" max="14116" width="0" style="191" hidden="1" customWidth="1"/>
    <col min="14117" max="14117" width="4.140625" style="191" customWidth="1"/>
    <col min="14118" max="14118" width="1.7109375" style="191" customWidth="1"/>
    <col min="14119" max="14119" width="5.28515625" style="191" customWidth="1"/>
    <col min="14120" max="14120" width="12.85546875" style="191" bestFit="1" customWidth="1"/>
    <col min="14121" max="14121" width="12.85546875" style="191" customWidth="1"/>
    <col min="14122" max="14125" width="9.140625" style="191"/>
    <col min="14126" max="14126" width="27.85546875" style="191" bestFit="1" customWidth="1"/>
    <col min="14127" max="14128" width="12.7109375" style="191" customWidth="1"/>
    <col min="14129" max="14129" width="9.140625" style="191"/>
    <col min="14130" max="14130" width="17" style="191" bestFit="1" customWidth="1"/>
    <col min="14131" max="14132" width="9.140625" style="191"/>
    <col min="14133" max="14133" width="14" style="191" bestFit="1" customWidth="1"/>
    <col min="14134" max="14134" width="12" style="191" bestFit="1" customWidth="1"/>
    <col min="14135" max="14135" width="12.5703125" style="191" bestFit="1" customWidth="1"/>
    <col min="14136" max="14136" width="14" style="191" bestFit="1" customWidth="1"/>
    <col min="14137" max="14137" width="19" style="191" bestFit="1" customWidth="1"/>
    <col min="14138" max="14138" width="15.7109375" style="191" bestFit="1" customWidth="1"/>
    <col min="14139" max="14139" width="22.28515625" style="191" bestFit="1" customWidth="1"/>
    <col min="14140" max="14140" width="10.5703125" style="191" bestFit="1" customWidth="1"/>
    <col min="14141" max="14141" width="14" style="191" bestFit="1" customWidth="1"/>
    <col min="14142" max="14142" width="14.85546875" style="191" bestFit="1" customWidth="1"/>
    <col min="14143" max="14143" width="11.28515625" style="191" bestFit="1" customWidth="1"/>
    <col min="14144" max="14144" width="14.7109375" style="191" bestFit="1" customWidth="1"/>
    <col min="14145" max="14145" width="11.5703125" style="191" bestFit="1" customWidth="1"/>
    <col min="14146" max="14146" width="18" style="191" bestFit="1" customWidth="1"/>
    <col min="14147" max="14147" width="7.42578125" style="191" bestFit="1" customWidth="1"/>
    <col min="14148" max="14148" width="14" style="191" bestFit="1" customWidth="1"/>
    <col min="14149" max="14153" width="14" style="191" customWidth="1"/>
    <col min="14154" max="14154" width="13.7109375" style="191" bestFit="1" customWidth="1"/>
    <col min="14155" max="14155" width="12.140625" style="191" bestFit="1" customWidth="1"/>
    <col min="14156" max="14156" width="10.5703125" style="191" bestFit="1" customWidth="1"/>
    <col min="14157" max="14158" width="18" style="191" bestFit="1" customWidth="1"/>
    <col min="14159" max="14159" width="8.7109375" style="191" bestFit="1" customWidth="1"/>
    <col min="14160" max="14160" width="14.5703125" style="191" bestFit="1" customWidth="1"/>
    <col min="14161" max="14161" width="15.140625" style="191" bestFit="1" customWidth="1"/>
    <col min="14162" max="14162" width="14.42578125" style="191" bestFit="1" customWidth="1"/>
    <col min="14163" max="14163" width="18.140625" style="191" bestFit="1" customWidth="1"/>
    <col min="14164" max="14164" width="11.28515625" style="191" bestFit="1" customWidth="1"/>
    <col min="14165" max="14165" width="18.85546875" style="191" bestFit="1" customWidth="1"/>
    <col min="14166" max="14166" width="15.5703125" style="191" bestFit="1" customWidth="1"/>
    <col min="14167" max="14167" width="20.42578125" style="191" bestFit="1" customWidth="1"/>
    <col min="14168" max="14168" width="11.42578125" style="191" bestFit="1" customWidth="1"/>
    <col min="14169" max="14169" width="19.42578125" style="191" bestFit="1" customWidth="1"/>
    <col min="14170" max="14170" width="16.28515625" style="191" bestFit="1" customWidth="1"/>
    <col min="14171" max="14171" width="11.42578125" style="191" bestFit="1" customWidth="1"/>
    <col min="14172" max="14172" width="7.5703125" style="191" bestFit="1" customWidth="1"/>
    <col min="14173" max="14173" width="18" style="191" bestFit="1" customWidth="1"/>
    <col min="14174" max="14174" width="14.5703125" style="191" bestFit="1" customWidth="1"/>
    <col min="14175" max="14175" width="14.42578125" style="191" bestFit="1" customWidth="1"/>
    <col min="14176" max="14176" width="12.85546875" style="191" bestFit="1" customWidth="1"/>
    <col min="14177" max="14177" width="8.140625" style="191" bestFit="1" customWidth="1"/>
    <col min="14178" max="14178" width="7.7109375" style="191" bestFit="1" customWidth="1"/>
    <col min="14179" max="14179" width="18.85546875" style="191" bestFit="1" customWidth="1"/>
    <col min="14180" max="14180" width="13.7109375" style="191" bestFit="1" customWidth="1"/>
    <col min="14181" max="14181" width="7.5703125" style="191" bestFit="1" customWidth="1"/>
    <col min="14182" max="14182" width="10.85546875" style="191" bestFit="1" customWidth="1"/>
    <col min="14183" max="14183" width="12.85546875" style="191" bestFit="1" customWidth="1"/>
    <col min="14184" max="14188" width="14" style="191" customWidth="1"/>
    <col min="14189" max="14189" width="15.42578125" style="191" bestFit="1" customWidth="1"/>
    <col min="14190" max="14190" width="13.140625" style="191" bestFit="1" customWidth="1"/>
    <col min="14191" max="14191" width="18.140625" style="191" bestFit="1" customWidth="1"/>
    <col min="14192" max="14193" width="15.42578125" style="191" bestFit="1" customWidth="1"/>
    <col min="14194" max="14194" width="9.7109375" style="191" bestFit="1" customWidth="1"/>
    <col min="14195" max="14195" width="15.85546875" style="191" bestFit="1" customWidth="1"/>
    <col min="14196" max="14200" width="14" style="191" customWidth="1"/>
    <col min="14201" max="14201" width="18.42578125" style="191" bestFit="1" customWidth="1"/>
    <col min="14202" max="14202" width="15.140625" style="191" bestFit="1" customWidth="1"/>
    <col min="14203" max="14203" width="15" style="191" bestFit="1" customWidth="1"/>
    <col min="14204" max="14204" width="18.140625" style="191" bestFit="1" customWidth="1"/>
    <col min="14205" max="14205" width="8.7109375" style="191" bestFit="1" customWidth="1"/>
    <col min="14206" max="14206" width="18.42578125" style="191" bestFit="1" customWidth="1"/>
    <col min="14207" max="14207" width="14.85546875" style="191" bestFit="1" customWidth="1"/>
    <col min="14208" max="14208" width="14.140625" style="191" bestFit="1" customWidth="1"/>
    <col min="14209" max="14209" width="13.42578125" style="191" bestFit="1" customWidth="1"/>
    <col min="14210" max="14210" width="8.7109375" style="191" bestFit="1" customWidth="1"/>
    <col min="14211" max="14211" width="15.42578125" style="191" bestFit="1" customWidth="1"/>
    <col min="14212" max="14212" width="12.85546875" style="191" bestFit="1" customWidth="1"/>
    <col min="14213" max="14213" width="15.42578125" style="191" bestFit="1" customWidth="1"/>
    <col min="14214" max="14214" width="19.85546875" style="191" bestFit="1" customWidth="1"/>
    <col min="14215" max="14215" width="10.5703125" style="191" bestFit="1" customWidth="1"/>
    <col min="14216" max="14216" width="19.85546875" style="191" bestFit="1" customWidth="1"/>
    <col min="14217" max="14217" width="15.28515625" style="191" bestFit="1" customWidth="1"/>
    <col min="14218" max="14218" width="15.85546875" style="191" bestFit="1" customWidth="1"/>
    <col min="14219" max="14219" width="17.42578125" style="191" bestFit="1" customWidth="1"/>
    <col min="14220" max="14220" width="14" style="191" bestFit="1" customWidth="1"/>
    <col min="14221" max="14227" width="14" style="191" customWidth="1"/>
    <col min="14228" max="14228" width="17.42578125" style="191" bestFit="1" customWidth="1"/>
    <col min="14229" max="14229" width="14" style="191" customWidth="1"/>
    <col min="14230" max="14230" width="9.5703125" style="191" bestFit="1" customWidth="1"/>
    <col min="14231" max="14231" width="15.5703125" style="191" bestFit="1" customWidth="1"/>
    <col min="14232" max="14232" width="16.5703125" style="191" bestFit="1" customWidth="1"/>
    <col min="14233" max="14233" width="14" style="191" customWidth="1"/>
    <col min="14234" max="14234" width="9.5703125" style="191" bestFit="1" customWidth="1"/>
    <col min="14235" max="14235" width="15.5703125" style="191" bestFit="1" customWidth="1"/>
    <col min="14236" max="14236" width="16.5703125" style="191" bestFit="1" customWidth="1"/>
    <col min="14237" max="14237" width="14.140625" style="191" bestFit="1" customWidth="1"/>
    <col min="14238" max="14242" width="14" style="191" customWidth="1"/>
    <col min="14243" max="14358" width="9.140625" style="191"/>
    <col min="14359" max="14359" width="0.140625" style="191" customWidth="1"/>
    <col min="14360" max="14360" width="17.140625" style="191" customWidth="1"/>
    <col min="14361" max="14361" width="8.5703125" style="191" customWidth="1"/>
    <col min="14362" max="14370" width="0" style="191" hidden="1" customWidth="1"/>
    <col min="14371" max="14371" width="5.140625" style="191" customWidth="1"/>
    <col min="14372" max="14372" width="0" style="191" hidden="1" customWidth="1"/>
    <col min="14373" max="14373" width="4.140625" style="191" customWidth="1"/>
    <col min="14374" max="14374" width="1.7109375" style="191" customWidth="1"/>
    <col min="14375" max="14375" width="5.28515625" style="191" customWidth="1"/>
    <col min="14376" max="14376" width="12.85546875" style="191" bestFit="1" customWidth="1"/>
    <col min="14377" max="14377" width="12.85546875" style="191" customWidth="1"/>
    <col min="14378" max="14381" width="9.140625" style="191"/>
    <col min="14382" max="14382" width="27.85546875" style="191" bestFit="1" customWidth="1"/>
    <col min="14383" max="14384" width="12.7109375" style="191" customWidth="1"/>
    <col min="14385" max="14385" width="9.140625" style="191"/>
    <col min="14386" max="14386" width="17" style="191" bestFit="1" customWidth="1"/>
    <col min="14387" max="14388" width="9.140625" style="191"/>
    <col min="14389" max="14389" width="14" style="191" bestFit="1" customWidth="1"/>
    <col min="14390" max="14390" width="12" style="191" bestFit="1" customWidth="1"/>
    <col min="14391" max="14391" width="12.5703125" style="191" bestFit="1" customWidth="1"/>
    <col min="14392" max="14392" width="14" style="191" bestFit="1" customWidth="1"/>
    <col min="14393" max="14393" width="19" style="191" bestFit="1" customWidth="1"/>
    <col min="14394" max="14394" width="15.7109375" style="191" bestFit="1" customWidth="1"/>
    <col min="14395" max="14395" width="22.28515625" style="191" bestFit="1" customWidth="1"/>
    <col min="14396" max="14396" width="10.5703125" style="191" bestFit="1" customWidth="1"/>
    <col min="14397" max="14397" width="14" style="191" bestFit="1" customWidth="1"/>
    <col min="14398" max="14398" width="14.85546875" style="191" bestFit="1" customWidth="1"/>
    <col min="14399" max="14399" width="11.28515625" style="191" bestFit="1" customWidth="1"/>
    <col min="14400" max="14400" width="14.7109375" style="191" bestFit="1" customWidth="1"/>
    <col min="14401" max="14401" width="11.5703125" style="191" bestFit="1" customWidth="1"/>
    <col min="14402" max="14402" width="18" style="191" bestFit="1" customWidth="1"/>
    <col min="14403" max="14403" width="7.42578125" style="191" bestFit="1" customWidth="1"/>
    <col min="14404" max="14404" width="14" style="191" bestFit="1" customWidth="1"/>
    <col min="14405" max="14409" width="14" style="191" customWidth="1"/>
    <col min="14410" max="14410" width="13.7109375" style="191" bestFit="1" customWidth="1"/>
    <col min="14411" max="14411" width="12.140625" style="191" bestFit="1" customWidth="1"/>
    <col min="14412" max="14412" width="10.5703125" style="191" bestFit="1" customWidth="1"/>
    <col min="14413" max="14414" width="18" style="191" bestFit="1" customWidth="1"/>
    <col min="14415" max="14415" width="8.7109375" style="191" bestFit="1" customWidth="1"/>
    <col min="14416" max="14416" width="14.5703125" style="191" bestFit="1" customWidth="1"/>
    <col min="14417" max="14417" width="15.140625" style="191" bestFit="1" customWidth="1"/>
    <col min="14418" max="14418" width="14.42578125" style="191" bestFit="1" customWidth="1"/>
    <col min="14419" max="14419" width="18.140625" style="191" bestFit="1" customWidth="1"/>
    <col min="14420" max="14420" width="11.28515625" style="191" bestFit="1" customWidth="1"/>
    <col min="14421" max="14421" width="18.85546875" style="191" bestFit="1" customWidth="1"/>
    <col min="14422" max="14422" width="15.5703125" style="191" bestFit="1" customWidth="1"/>
    <col min="14423" max="14423" width="20.42578125" style="191" bestFit="1" customWidth="1"/>
    <col min="14424" max="14424" width="11.42578125" style="191" bestFit="1" customWidth="1"/>
    <col min="14425" max="14425" width="19.42578125" style="191" bestFit="1" customWidth="1"/>
    <col min="14426" max="14426" width="16.28515625" style="191" bestFit="1" customWidth="1"/>
    <col min="14427" max="14427" width="11.42578125" style="191" bestFit="1" customWidth="1"/>
    <col min="14428" max="14428" width="7.5703125" style="191" bestFit="1" customWidth="1"/>
    <col min="14429" max="14429" width="18" style="191" bestFit="1" customWidth="1"/>
    <col min="14430" max="14430" width="14.5703125" style="191" bestFit="1" customWidth="1"/>
    <col min="14431" max="14431" width="14.42578125" style="191" bestFit="1" customWidth="1"/>
    <col min="14432" max="14432" width="12.85546875" style="191" bestFit="1" customWidth="1"/>
    <col min="14433" max="14433" width="8.140625" style="191" bestFit="1" customWidth="1"/>
    <col min="14434" max="14434" width="7.7109375" style="191" bestFit="1" customWidth="1"/>
    <col min="14435" max="14435" width="18.85546875" style="191" bestFit="1" customWidth="1"/>
    <col min="14436" max="14436" width="13.7109375" style="191" bestFit="1" customWidth="1"/>
    <col min="14437" max="14437" width="7.5703125" style="191" bestFit="1" customWidth="1"/>
    <col min="14438" max="14438" width="10.85546875" style="191" bestFit="1" customWidth="1"/>
    <col min="14439" max="14439" width="12.85546875" style="191" bestFit="1" customWidth="1"/>
    <col min="14440" max="14444" width="14" style="191" customWidth="1"/>
    <col min="14445" max="14445" width="15.42578125" style="191" bestFit="1" customWidth="1"/>
    <col min="14446" max="14446" width="13.140625" style="191" bestFit="1" customWidth="1"/>
    <col min="14447" max="14447" width="18.140625" style="191" bestFit="1" customWidth="1"/>
    <col min="14448" max="14449" width="15.42578125" style="191" bestFit="1" customWidth="1"/>
    <col min="14450" max="14450" width="9.7109375" style="191" bestFit="1" customWidth="1"/>
    <col min="14451" max="14451" width="15.85546875" style="191" bestFit="1" customWidth="1"/>
    <col min="14452" max="14456" width="14" style="191" customWidth="1"/>
    <col min="14457" max="14457" width="18.42578125" style="191" bestFit="1" customWidth="1"/>
    <col min="14458" max="14458" width="15.140625" style="191" bestFit="1" customWidth="1"/>
    <col min="14459" max="14459" width="15" style="191" bestFit="1" customWidth="1"/>
    <col min="14460" max="14460" width="18.140625" style="191" bestFit="1" customWidth="1"/>
    <col min="14461" max="14461" width="8.7109375" style="191" bestFit="1" customWidth="1"/>
    <col min="14462" max="14462" width="18.42578125" style="191" bestFit="1" customWidth="1"/>
    <col min="14463" max="14463" width="14.85546875" style="191" bestFit="1" customWidth="1"/>
    <col min="14464" max="14464" width="14.140625" style="191" bestFit="1" customWidth="1"/>
    <col min="14465" max="14465" width="13.42578125" style="191" bestFit="1" customWidth="1"/>
    <col min="14466" max="14466" width="8.7109375" style="191" bestFit="1" customWidth="1"/>
    <col min="14467" max="14467" width="15.42578125" style="191" bestFit="1" customWidth="1"/>
    <col min="14468" max="14468" width="12.85546875" style="191" bestFit="1" customWidth="1"/>
    <col min="14469" max="14469" width="15.42578125" style="191" bestFit="1" customWidth="1"/>
    <col min="14470" max="14470" width="19.85546875" style="191" bestFit="1" customWidth="1"/>
    <col min="14471" max="14471" width="10.5703125" style="191" bestFit="1" customWidth="1"/>
    <col min="14472" max="14472" width="19.85546875" style="191" bestFit="1" customWidth="1"/>
    <col min="14473" max="14473" width="15.28515625" style="191" bestFit="1" customWidth="1"/>
    <col min="14474" max="14474" width="15.85546875" style="191" bestFit="1" customWidth="1"/>
    <col min="14475" max="14475" width="17.42578125" style="191" bestFit="1" customWidth="1"/>
    <col min="14476" max="14476" width="14" style="191" bestFit="1" customWidth="1"/>
    <col min="14477" max="14483" width="14" style="191" customWidth="1"/>
    <col min="14484" max="14484" width="17.42578125" style="191" bestFit="1" customWidth="1"/>
    <col min="14485" max="14485" width="14" style="191" customWidth="1"/>
    <col min="14486" max="14486" width="9.5703125" style="191" bestFit="1" customWidth="1"/>
    <col min="14487" max="14487" width="15.5703125" style="191" bestFit="1" customWidth="1"/>
    <col min="14488" max="14488" width="16.5703125" style="191" bestFit="1" customWidth="1"/>
    <col min="14489" max="14489" width="14" style="191" customWidth="1"/>
    <col min="14490" max="14490" width="9.5703125" style="191" bestFit="1" customWidth="1"/>
    <col min="14491" max="14491" width="15.5703125" style="191" bestFit="1" customWidth="1"/>
    <col min="14492" max="14492" width="16.5703125" style="191" bestFit="1" customWidth="1"/>
    <col min="14493" max="14493" width="14.140625" style="191" bestFit="1" customWidth="1"/>
    <col min="14494" max="14498" width="14" style="191" customWidth="1"/>
    <col min="14499" max="14614" width="9.140625" style="191"/>
    <col min="14615" max="14615" width="0.140625" style="191" customWidth="1"/>
    <col min="14616" max="14616" width="17.140625" style="191" customWidth="1"/>
    <col min="14617" max="14617" width="8.5703125" style="191" customWidth="1"/>
    <col min="14618" max="14626" width="0" style="191" hidden="1" customWidth="1"/>
    <col min="14627" max="14627" width="5.140625" style="191" customWidth="1"/>
    <col min="14628" max="14628" width="0" style="191" hidden="1" customWidth="1"/>
    <col min="14629" max="14629" width="4.140625" style="191" customWidth="1"/>
    <col min="14630" max="14630" width="1.7109375" style="191" customWidth="1"/>
    <col min="14631" max="14631" width="5.28515625" style="191" customWidth="1"/>
    <col min="14632" max="14632" width="12.85546875" style="191" bestFit="1" customWidth="1"/>
    <col min="14633" max="14633" width="12.85546875" style="191" customWidth="1"/>
    <col min="14634" max="14637" width="9.140625" style="191"/>
    <col min="14638" max="14638" width="27.85546875" style="191" bestFit="1" customWidth="1"/>
    <col min="14639" max="14640" width="12.7109375" style="191" customWidth="1"/>
    <col min="14641" max="14641" width="9.140625" style="191"/>
    <col min="14642" max="14642" width="17" style="191" bestFit="1" customWidth="1"/>
    <col min="14643" max="14644" width="9.140625" style="191"/>
    <col min="14645" max="14645" width="14" style="191" bestFit="1" customWidth="1"/>
    <col min="14646" max="14646" width="12" style="191" bestFit="1" customWidth="1"/>
    <col min="14647" max="14647" width="12.5703125" style="191" bestFit="1" customWidth="1"/>
    <col min="14648" max="14648" width="14" style="191" bestFit="1" customWidth="1"/>
    <col min="14649" max="14649" width="19" style="191" bestFit="1" customWidth="1"/>
    <col min="14650" max="14650" width="15.7109375" style="191" bestFit="1" customWidth="1"/>
    <col min="14651" max="14651" width="22.28515625" style="191" bestFit="1" customWidth="1"/>
    <col min="14652" max="14652" width="10.5703125" style="191" bestFit="1" customWidth="1"/>
    <col min="14653" max="14653" width="14" style="191" bestFit="1" customWidth="1"/>
    <col min="14654" max="14654" width="14.85546875" style="191" bestFit="1" customWidth="1"/>
    <col min="14655" max="14655" width="11.28515625" style="191" bestFit="1" customWidth="1"/>
    <col min="14656" max="14656" width="14.7109375" style="191" bestFit="1" customWidth="1"/>
    <col min="14657" max="14657" width="11.5703125" style="191" bestFit="1" customWidth="1"/>
    <col min="14658" max="14658" width="18" style="191" bestFit="1" customWidth="1"/>
    <col min="14659" max="14659" width="7.42578125" style="191" bestFit="1" customWidth="1"/>
    <col min="14660" max="14660" width="14" style="191" bestFit="1" customWidth="1"/>
    <col min="14661" max="14665" width="14" style="191" customWidth="1"/>
    <col min="14666" max="14666" width="13.7109375" style="191" bestFit="1" customWidth="1"/>
    <col min="14667" max="14667" width="12.140625" style="191" bestFit="1" customWidth="1"/>
    <col min="14668" max="14668" width="10.5703125" style="191" bestFit="1" customWidth="1"/>
    <col min="14669" max="14670" width="18" style="191" bestFit="1" customWidth="1"/>
    <col min="14671" max="14671" width="8.7109375" style="191" bestFit="1" customWidth="1"/>
    <col min="14672" max="14672" width="14.5703125" style="191" bestFit="1" customWidth="1"/>
    <col min="14673" max="14673" width="15.140625" style="191" bestFit="1" customWidth="1"/>
    <col min="14674" max="14674" width="14.42578125" style="191" bestFit="1" customWidth="1"/>
    <col min="14675" max="14675" width="18.140625" style="191" bestFit="1" customWidth="1"/>
    <col min="14676" max="14676" width="11.28515625" style="191" bestFit="1" customWidth="1"/>
    <col min="14677" max="14677" width="18.85546875" style="191" bestFit="1" customWidth="1"/>
    <col min="14678" max="14678" width="15.5703125" style="191" bestFit="1" customWidth="1"/>
    <col min="14679" max="14679" width="20.42578125" style="191" bestFit="1" customWidth="1"/>
    <col min="14680" max="14680" width="11.42578125" style="191" bestFit="1" customWidth="1"/>
    <col min="14681" max="14681" width="19.42578125" style="191" bestFit="1" customWidth="1"/>
    <col min="14682" max="14682" width="16.28515625" style="191" bestFit="1" customWidth="1"/>
    <col min="14683" max="14683" width="11.42578125" style="191" bestFit="1" customWidth="1"/>
    <col min="14684" max="14684" width="7.5703125" style="191" bestFit="1" customWidth="1"/>
    <col min="14685" max="14685" width="18" style="191" bestFit="1" customWidth="1"/>
    <col min="14686" max="14686" width="14.5703125" style="191" bestFit="1" customWidth="1"/>
    <col min="14687" max="14687" width="14.42578125" style="191" bestFit="1" customWidth="1"/>
    <col min="14688" max="14688" width="12.85546875" style="191" bestFit="1" customWidth="1"/>
    <col min="14689" max="14689" width="8.140625" style="191" bestFit="1" customWidth="1"/>
    <col min="14690" max="14690" width="7.7109375" style="191" bestFit="1" customWidth="1"/>
    <col min="14691" max="14691" width="18.85546875" style="191" bestFit="1" customWidth="1"/>
    <col min="14692" max="14692" width="13.7109375" style="191" bestFit="1" customWidth="1"/>
    <col min="14693" max="14693" width="7.5703125" style="191" bestFit="1" customWidth="1"/>
    <col min="14694" max="14694" width="10.85546875" style="191" bestFit="1" customWidth="1"/>
    <col min="14695" max="14695" width="12.85546875" style="191" bestFit="1" customWidth="1"/>
    <col min="14696" max="14700" width="14" style="191" customWidth="1"/>
    <col min="14701" max="14701" width="15.42578125" style="191" bestFit="1" customWidth="1"/>
    <col min="14702" max="14702" width="13.140625" style="191" bestFit="1" customWidth="1"/>
    <col min="14703" max="14703" width="18.140625" style="191" bestFit="1" customWidth="1"/>
    <col min="14704" max="14705" width="15.42578125" style="191" bestFit="1" customWidth="1"/>
    <col min="14706" max="14706" width="9.7109375" style="191" bestFit="1" customWidth="1"/>
    <col min="14707" max="14707" width="15.85546875" style="191" bestFit="1" customWidth="1"/>
    <col min="14708" max="14712" width="14" style="191" customWidth="1"/>
    <col min="14713" max="14713" width="18.42578125" style="191" bestFit="1" customWidth="1"/>
    <col min="14714" max="14714" width="15.140625" style="191" bestFit="1" customWidth="1"/>
    <col min="14715" max="14715" width="15" style="191" bestFit="1" customWidth="1"/>
    <col min="14716" max="14716" width="18.140625" style="191" bestFit="1" customWidth="1"/>
    <col min="14717" max="14717" width="8.7109375" style="191" bestFit="1" customWidth="1"/>
    <col min="14718" max="14718" width="18.42578125" style="191" bestFit="1" customWidth="1"/>
    <col min="14719" max="14719" width="14.85546875" style="191" bestFit="1" customWidth="1"/>
    <col min="14720" max="14720" width="14.140625" style="191" bestFit="1" customWidth="1"/>
    <col min="14721" max="14721" width="13.42578125" style="191" bestFit="1" customWidth="1"/>
    <col min="14722" max="14722" width="8.7109375" style="191" bestFit="1" customWidth="1"/>
    <col min="14723" max="14723" width="15.42578125" style="191" bestFit="1" customWidth="1"/>
    <col min="14724" max="14724" width="12.85546875" style="191" bestFit="1" customWidth="1"/>
    <col min="14725" max="14725" width="15.42578125" style="191" bestFit="1" customWidth="1"/>
    <col min="14726" max="14726" width="19.85546875" style="191" bestFit="1" customWidth="1"/>
    <col min="14727" max="14727" width="10.5703125" style="191" bestFit="1" customWidth="1"/>
    <col min="14728" max="14728" width="19.85546875" style="191" bestFit="1" customWidth="1"/>
    <col min="14729" max="14729" width="15.28515625" style="191" bestFit="1" customWidth="1"/>
    <col min="14730" max="14730" width="15.85546875" style="191" bestFit="1" customWidth="1"/>
    <col min="14731" max="14731" width="17.42578125" style="191" bestFit="1" customWidth="1"/>
    <col min="14732" max="14732" width="14" style="191" bestFit="1" customWidth="1"/>
    <col min="14733" max="14739" width="14" style="191" customWidth="1"/>
    <col min="14740" max="14740" width="17.42578125" style="191" bestFit="1" customWidth="1"/>
    <col min="14741" max="14741" width="14" style="191" customWidth="1"/>
    <col min="14742" max="14742" width="9.5703125" style="191" bestFit="1" customWidth="1"/>
    <col min="14743" max="14743" width="15.5703125" style="191" bestFit="1" customWidth="1"/>
    <col min="14744" max="14744" width="16.5703125" style="191" bestFit="1" customWidth="1"/>
    <col min="14745" max="14745" width="14" style="191" customWidth="1"/>
    <col min="14746" max="14746" width="9.5703125" style="191" bestFit="1" customWidth="1"/>
    <col min="14747" max="14747" width="15.5703125" style="191" bestFit="1" customWidth="1"/>
    <col min="14748" max="14748" width="16.5703125" style="191" bestFit="1" customWidth="1"/>
    <col min="14749" max="14749" width="14.140625" style="191" bestFit="1" customWidth="1"/>
    <col min="14750" max="14754" width="14" style="191" customWidth="1"/>
    <col min="14755" max="14870" width="9.140625" style="191"/>
    <col min="14871" max="14871" width="0.140625" style="191" customWidth="1"/>
    <col min="14872" max="14872" width="17.140625" style="191" customWidth="1"/>
    <col min="14873" max="14873" width="8.5703125" style="191" customWidth="1"/>
    <col min="14874" max="14882" width="0" style="191" hidden="1" customWidth="1"/>
    <col min="14883" max="14883" width="5.140625" style="191" customWidth="1"/>
    <col min="14884" max="14884" width="0" style="191" hidden="1" customWidth="1"/>
    <col min="14885" max="14885" width="4.140625" style="191" customWidth="1"/>
    <col min="14886" max="14886" width="1.7109375" style="191" customWidth="1"/>
    <col min="14887" max="14887" width="5.28515625" style="191" customWidth="1"/>
    <col min="14888" max="14888" width="12.85546875" style="191" bestFit="1" customWidth="1"/>
    <col min="14889" max="14889" width="12.85546875" style="191" customWidth="1"/>
    <col min="14890" max="14893" width="9.140625" style="191"/>
    <col min="14894" max="14894" width="27.85546875" style="191" bestFit="1" customWidth="1"/>
    <col min="14895" max="14896" width="12.7109375" style="191" customWidth="1"/>
    <col min="14897" max="14897" width="9.140625" style="191"/>
    <col min="14898" max="14898" width="17" style="191" bestFit="1" customWidth="1"/>
    <col min="14899" max="14900" width="9.140625" style="191"/>
    <col min="14901" max="14901" width="14" style="191" bestFit="1" customWidth="1"/>
    <col min="14902" max="14902" width="12" style="191" bestFit="1" customWidth="1"/>
    <col min="14903" max="14903" width="12.5703125" style="191" bestFit="1" customWidth="1"/>
    <col min="14904" max="14904" width="14" style="191" bestFit="1" customWidth="1"/>
    <col min="14905" max="14905" width="19" style="191" bestFit="1" customWidth="1"/>
    <col min="14906" max="14906" width="15.7109375" style="191" bestFit="1" customWidth="1"/>
    <col min="14907" max="14907" width="22.28515625" style="191" bestFit="1" customWidth="1"/>
    <col min="14908" max="14908" width="10.5703125" style="191" bestFit="1" customWidth="1"/>
    <col min="14909" max="14909" width="14" style="191" bestFit="1" customWidth="1"/>
    <col min="14910" max="14910" width="14.85546875" style="191" bestFit="1" customWidth="1"/>
    <col min="14911" max="14911" width="11.28515625" style="191" bestFit="1" customWidth="1"/>
    <col min="14912" max="14912" width="14.7109375" style="191" bestFit="1" customWidth="1"/>
    <col min="14913" max="14913" width="11.5703125" style="191" bestFit="1" customWidth="1"/>
    <col min="14914" max="14914" width="18" style="191" bestFit="1" customWidth="1"/>
    <col min="14915" max="14915" width="7.42578125" style="191" bestFit="1" customWidth="1"/>
    <col min="14916" max="14916" width="14" style="191" bestFit="1" customWidth="1"/>
    <col min="14917" max="14921" width="14" style="191" customWidth="1"/>
    <col min="14922" max="14922" width="13.7109375" style="191" bestFit="1" customWidth="1"/>
    <col min="14923" max="14923" width="12.140625" style="191" bestFit="1" customWidth="1"/>
    <col min="14924" max="14924" width="10.5703125" style="191" bestFit="1" customWidth="1"/>
    <col min="14925" max="14926" width="18" style="191" bestFit="1" customWidth="1"/>
    <col min="14927" max="14927" width="8.7109375" style="191" bestFit="1" customWidth="1"/>
    <col min="14928" max="14928" width="14.5703125" style="191" bestFit="1" customWidth="1"/>
    <col min="14929" max="14929" width="15.140625" style="191" bestFit="1" customWidth="1"/>
    <col min="14930" max="14930" width="14.42578125" style="191" bestFit="1" customWidth="1"/>
    <col min="14931" max="14931" width="18.140625" style="191" bestFit="1" customWidth="1"/>
    <col min="14932" max="14932" width="11.28515625" style="191" bestFit="1" customWidth="1"/>
    <col min="14933" max="14933" width="18.85546875" style="191" bestFit="1" customWidth="1"/>
    <col min="14934" max="14934" width="15.5703125" style="191" bestFit="1" customWidth="1"/>
    <col min="14935" max="14935" width="20.42578125" style="191" bestFit="1" customWidth="1"/>
    <col min="14936" max="14936" width="11.42578125" style="191" bestFit="1" customWidth="1"/>
    <col min="14937" max="14937" width="19.42578125" style="191" bestFit="1" customWidth="1"/>
    <col min="14938" max="14938" width="16.28515625" style="191" bestFit="1" customWidth="1"/>
    <col min="14939" max="14939" width="11.42578125" style="191" bestFit="1" customWidth="1"/>
    <col min="14940" max="14940" width="7.5703125" style="191" bestFit="1" customWidth="1"/>
    <col min="14941" max="14941" width="18" style="191" bestFit="1" customWidth="1"/>
    <col min="14942" max="14942" width="14.5703125" style="191" bestFit="1" customWidth="1"/>
    <col min="14943" max="14943" width="14.42578125" style="191" bestFit="1" customWidth="1"/>
    <col min="14944" max="14944" width="12.85546875" style="191" bestFit="1" customWidth="1"/>
    <col min="14945" max="14945" width="8.140625" style="191" bestFit="1" customWidth="1"/>
    <col min="14946" max="14946" width="7.7109375" style="191" bestFit="1" customWidth="1"/>
    <col min="14947" max="14947" width="18.85546875" style="191" bestFit="1" customWidth="1"/>
    <col min="14948" max="14948" width="13.7109375" style="191" bestFit="1" customWidth="1"/>
    <col min="14949" max="14949" width="7.5703125" style="191" bestFit="1" customWidth="1"/>
    <col min="14950" max="14950" width="10.85546875" style="191" bestFit="1" customWidth="1"/>
    <col min="14951" max="14951" width="12.85546875" style="191" bestFit="1" customWidth="1"/>
    <col min="14952" max="14956" width="14" style="191" customWidth="1"/>
    <col min="14957" max="14957" width="15.42578125" style="191" bestFit="1" customWidth="1"/>
    <col min="14958" max="14958" width="13.140625" style="191" bestFit="1" customWidth="1"/>
    <col min="14959" max="14959" width="18.140625" style="191" bestFit="1" customWidth="1"/>
    <col min="14960" max="14961" width="15.42578125" style="191" bestFit="1" customWidth="1"/>
    <col min="14962" max="14962" width="9.7109375" style="191" bestFit="1" customWidth="1"/>
    <col min="14963" max="14963" width="15.85546875" style="191" bestFit="1" customWidth="1"/>
    <col min="14964" max="14968" width="14" style="191" customWidth="1"/>
    <col min="14969" max="14969" width="18.42578125" style="191" bestFit="1" customWidth="1"/>
    <col min="14970" max="14970" width="15.140625" style="191" bestFit="1" customWidth="1"/>
    <col min="14971" max="14971" width="15" style="191" bestFit="1" customWidth="1"/>
    <col min="14972" max="14972" width="18.140625" style="191" bestFit="1" customWidth="1"/>
    <col min="14973" max="14973" width="8.7109375" style="191" bestFit="1" customWidth="1"/>
    <col min="14974" max="14974" width="18.42578125" style="191" bestFit="1" customWidth="1"/>
    <col min="14975" max="14975" width="14.85546875" style="191" bestFit="1" customWidth="1"/>
    <col min="14976" max="14976" width="14.140625" style="191" bestFit="1" customWidth="1"/>
    <col min="14977" max="14977" width="13.42578125" style="191" bestFit="1" customWidth="1"/>
    <col min="14978" max="14978" width="8.7109375" style="191" bestFit="1" customWidth="1"/>
    <col min="14979" max="14979" width="15.42578125" style="191" bestFit="1" customWidth="1"/>
    <col min="14980" max="14980" width="12.85546875" style="191" bestFit="1" customWidth="1"/>
    <col min="14981" max="14981" width="15.42578125" style="191" bestFit="1" customWidth="1"/>
    <col min="14982" max="14982" width="19.85546875" style="191" bestFit="1" customWidth="1"/>
    <col min="14983" max="14983" width="10.5703125" style="191" bestFit="1" customWidth="1"/>
    <col min="14984" max="14984" width="19.85546875" style="191" bestFit="1" customWidth="1"/>
    <col min="14985" max="14985" width="15.28515625" style="191" bestFit="1" customWidth="1"/>
    <col min="14986" max="14986" width="15.85546875" style="191" bestFit="1" customWidth="1"/>
    <col min="14987" max="14987" width="17.42578125" style="191" bestFit="1" customWidth="1"/>
    <col min="14988" max="14988" width="14" style="191" bestFit="1" customWidth="1"/>
    <col min="14989" max="14995" width="14" style="191" customWidth="1"/>
    <col min="14996" max="14996" width="17.42578125" style="191" bestFit="1" customWidth="1"/>
    <col min="14997" max="14997" width="14" style="191" customWidth="1"/>
    <col min="14998" max="14998" width="9.5703125" style="191" bestFit="1" customWidth="1"/>
    <col min="14999" max="14999" width="15.5703125" style="191" bestFit="1" customWidth="1"/>
    <col min="15000" max="15000" width="16.5703125" style="191" bestFit="1" customWidth="1"/>
    <col min="15001" max="15001" width="14" style="191" customWidth="1"/>
    <col min="15002" max="15002" width="9.5703125" style="191" bestFit="1" customWidth="1"/>
    <col min="15003" max="15003" width="15.5703125" style="191" bestFit="1" customWidth="1"/>
    <col min="15004" max="15004" width="16.5703125" style="191" bestFit="1" customWidth="1"/>
    <col min="15005" max="15005" width="14.140625" style="191" bestFit="1" customWidth="1"/>
    <col min="15006" max="15010" width="14" style="191" customWidth="1"/>
    <col min="15011" max="15126" width="9.140625" style="191"/>
    <col min="15127" max="15127" width="0.140625" style="191" customWidth="1"/>
    <col min="15128" max="15128" width="17.140625" style="191" customWidth="1"/>
    <col min="15129" max="15129" width="8.5703125" style="191" customWidth="1"/>
    <col min="15130" max="15138" width="0" style="191" hidden="1" customWidth="1"/>
    <col min="15139" max="15139" width="5.140625" style="191" customWidth="1"/>
    <col min="15140" max="15140" width="0" style="191" hidden="1" customWidth="1"/>
    <col min="15141" max="15141" width="4.140625" style="191" customWidth="1"/>
    <col min="15142" max="15142" width="1.7109375" style="191" customWidth="1"/>
    <col min="15143" max="15143" width="5.28515625" style="191" customWidth="1"/>
    <col min="15144" max="15144" width="12.85546875" style="191" bestFit="1" customWidth="1"/>
    <col min="15145" max="15145" width="12.85546875" style="191" customWidth="1"/>
    <col min="15146" max="15149" width="9.140625" style="191"/>
    <col min="15150" max="15150" width="27.85546875" style="191" bestFit="1" customWidth="1"/>
    <col min="15151" max="15152" width="12.7109375" style="191" customWidth="1"/>
    <col min="15153" max="15153" width="9.140625" style="191"/>
    <col min="15154" max="15154" width="17" style="191" bestFit="1" customWidth="1"/>
    <col min="15155" max="15156" width="9.140625" style="191"/>
    <col min="15157" max="15157" width="14" style="191" bestFit="1" customWidth="1"/>
    <col min="15158" max="15158" width="12" style="191" bestFit="1" customWidth="1"/>
    <col min="15159" max="15159" width="12.5703125" style="191" bestFit="1" customWidth="1"/>
    <col min="15160" max="15160" width="14" style="191" bestFit="1" customWidth="1"/>
    <col min="15161" max="15161" width="19" style="191" bestFit="1" customWidth="1"/>
    <col min="15162" max="15162" width="15.7109375" style="191" bestFit="1" customWidth="1"/>
    <col min="15163" max="15163" width="22.28515625" style="191" bestFit="1" customWidth="1"/>
    <col min="15164" max="15164" width="10.5703125" style="191" bestFit="1" customWidth="1"/>
    <col min="15165" max="15165" width="14" style="191" bestFit="1" customWidth="1"/>
    <col min="15166" max="15166" width="14.85546875" style="191" bestFit="1" customWidth="1"/>
    <col min="15167" max="15167" width="11.28515625" style="191" bestFit="1" customWidth="1"/>
    <col min="15168" max="15168" width="14.7109375" style="191" bestFit="1" customWidth="1"/>
    <col min="15169" max="15169" width="11.5703125" style="191" bestFit="1" customWidth="1"/>
    <col min="15170" max="15170" width="18" style="191" bestFit="1" customWidth="1"/>
    <col min="15171" max="15171" width="7.42578125" style="191" bestFit="1" customWidth="1"/>
    <col min="15172" max="15172" width="14" style="191" bestFit="1" customWidth="1"/>
    <col min="15173" max="15177" width="14" style="191" customWidth="1"/>
    <col min="15178" max="15178" width="13.7109375" style="191" bestFit="1" customWidth="1"/>
    <col min="15179" max="15179" width="12.140625" style="191" bestFit="1" customWidth="1"/>
    <col min="15180" max="15180" width="10.5703125" style="191" bestFit="1" customWidth="1"/>
    <col min="15181" max="15182" width="18" style="191" bestFit="1" customWidth="1"/>
    <col min="15183" max="15183" width="8.7109375" style="191" bestFit="1" customWidth="1"/>
    <col min="15184" max="15184" width="14.5703125" style="191" bestFit="1" customWidth="1"/>
    <col min="15185" max="15185" width="15.140625" style="191" bestFit="1" customWidth="1"/>
    <col min="15186" max="15186" width="14.42578125" style="191" bestFit="1" customWidth="1"/>
    <col min="15187" max="15187" width="18.140625" style="191" bestFit="1" customWidth="1"/>
    <col min="15188" max="15188" width="11.28515625" style="191" bestFit="1" customWidth="1"/>
    <col min="15189" max="15189" width="18.85546875" style="191" bestFit="1" customWidth="1"/>
    <col min="15190" max="15190" width="15.5703125" style="191" bestFit="1" customWidth="1"/>
    <col min="15191" max="15191" width="20.42578125" style="191" bestFit="1" customWidth="1"/>
    <col min="15192" max="15192" width="11.42578125" style="191" bestFit="1" customWidth="1"/>
    <col min="15193" max="15193" width="19.42578125" style="191" bestFit="1" customWidth="1"/>
    <col min="15194" max="15194" width="16.28515625" style="191" bestFit="1" customWidth="1"/>
    <col min="15195" max="15195" width="11.42578125" style="191" bestFit="1" customWidth="1"/>
    <col min="15196" max="15196" width="7.5703125" style="191" bestFit="1" customWidth="1"/>
    <col min="15197" max="15197" width="18" style="191" bestFit="1" customWidth="1"/>
    <col min="15198" max="15198" width="14.5703125" style="191" bestFit="1" customWidth="1"/>
    <col min="15199" max="15199" width="14.42578125" style="191" bestFit="1" customWidth="1"/>
    <col min="15200" max="15200" width="12.85546875" style="191" bestFit="1" customWidth="1"/>
    <col min="15201" max="15201" width="8.140625" style="191" bestFit="1" customWidth="1"/>
    <col min="15202" max="15202" width="7.7109375" style="191" bestFit="1" customWidth="1"/>
    <col min="15203" max="15203" width="18.85546875" style="191" bestFit="1" customWidth="1"/>
    <col min="15204" max="15204" width="13.7109375" style="191" bestFit="1" customWidth="1"/>
    <col min="15205" max="15205" width="7.5703125" style="191" bestFit="1" customWidth="1"/>
    <col min="15206" max="15206" width="10.85546875" style="191" bestFit="1" customWidth="1"/>
    <col min="15207" max="15207" width="12.85546875" style="191" bestFit="1" customWidth="1"/>
    <col min="15208" max="15212" width="14" style="191" customWidth="1"/>
    <col min="15213" max="15213" width="15.42578125" style="191" bestFit="1" customWidth="1"/>
    <col min="15214" max="15214" width="13.140625" style="191" bestFit="1" customWidth="1"/>
    <col min="15215" max="15215" width="18.140625" style="191" bestFit="1" customWidth="1"/>
    <col min="15216" max="15217" width="15.42578125" style="191" bestFit="1" customWidth="1"/>
    <col min="15218" max="15218" width="9.7109375" style="191" bestFit="1" customWidth="1"/>
    <col min="15219" max="15219" width="15.85546875" style="191" bestFit="1" customWidth="1"/>
    <col min="15220" max="15224" width="14" style="191" customWidth="1"/>
    <col min="15225" max="15225" width="18.42578125" style="191" bestFit="1" customWidth="1"/>
    <col min="15226" max="15226" width="15.140625" style="191" bestFit="1" customWidth="1"/>
    <col min="15227" max="15227" width="15" style="191" bestFit="1" customWidth="1"/>
    <col min="15228" max="15228" width="18.140625" style="191" bestFit="1" customWidth="1"/>
    <col min="15229" max="15229" width="8.7109375" style="191" bestFit="1" customWidth="1"/>
    <col min="15230" max="15230" width="18.42578125" style="191" bestFit="1" customWidth="1"/>
    <col min="15231" max="15231" width="14.85546875" style="191" bestFit="1" customWidth="1"/>
    <col min="15232" max="15232" width="14.140625" style="191" bestFit="1" customWidth="1"/>
    <col min="15233" max="15233" width="13.42578125" style="191" bestFit="1" customWidth="1"/>
    <col min="15234" max="15234" width="8.7109375" style="191" bestFit="1" customWidth="1"/>
    <col min="15235" max="15235" width="15.42578125" style="191" bestFit="1" customWidth="1"/>
    <col min="15236" max="15236" width="12.85546875" style="191" bestFit="1" customWidth="1"/>
    <col min="15237" max="15237" width="15.42578125" style="191" bestFit="1" customWidth="1"/>
    <col min="15238" max="15238" width="19.85546875" style="191" bestFit="1" customWidth="1"/>
    <col min="15239" max="15239" width="10.5703125" style="191" bestFit="1" customWidth="1"/>
    <col min="15240" max="15240" width="19.85546875" style="191" bestFit="1" customWidth="1"/>
    <col min="15241" max="15241" width="15.28515625" style="191" bestFit="1" customWidth="1"/>
    <col min="15242" max="15242" width="15.85546875" style="191" bestFit="1" customWidth="1"/>
    <col min="15243" max="15243" width="17.42578125" style="191" bestFit="1" customWidth="1"/>
    <col min="15244" max="15244" width="14" style="191" bestFit="1" customWidth="1"/>
    <col min="15245" max="15251" width="14" style="191" customWidth="1"/>
    <col min="15252" max="15252" width="17.42578125" style="191" bestFit="1" customWidth="1"/>
    <col min="15253" max="15253" width="14" style="191" customWidth="1"/>
    <col min="15254" max="15254" width="9.5703125" style="191" bestFit="1" customWidth="1"/>
    <col min="15255" max="15255" width="15.5703125" style="191" bestFit="1" customWidth="1"/>
    <col min="15256" max="15256" width="16.5703125" style="191" bestFit="1" customWidth="1"/>
    <col min="15257" max="15257" width="14" style="191" customWidth="1"/>
    <col min="15258" max="15258" width="9.5703125" style="191" bestFit="1" customWidth="1"/>
    <col min="15259" max="15259" width="15.5703125" style="191" bestFit="1" customWidth="1"/>
    <col min="15260" max="15260" width="16.5703125" style="191" bestFit="1" customWidth="1"/>
    <col min="15261" max="15261" width="14.140625" style="191" bestFit="1" customWidth="1"/>
    <col min="15262" max="15266" width="14" style="191" customWidth="1"/>
    <col min="15267" max="15382" width="9.140625" style="191"/>
    <col min="15383" max="15383" width="0.140625" style="191" customWidth="1"/>
    <col min="15384" max="15384" width="17.140625" style="191" customWidth="1"/>
    <col min="15385" max="15385" width="8.5703125" style="191" customWidth="1"/>
    <col min="15386" max="15394" width="0" style="191" hidden="1" customWidth="1"/>
    <col min="15395" max="15395" width="5.140625" style="191" customWidth="1"/>
    <col min="15396" max="15396" width="0" style="191" hidden="1" customWidth="1"/>
    <col min="15397" max="15397" width="4.140625" style="191" customWidth="1"/>
    <col min="15398" max="15398" width="1.7109375" style="191" customWidth="1"/>
    <col min="15399" max="15399" width="5.28515625" style="191" customWidth="1"/>
    <col min="15400" max="15400" width="12.85546875" style="191" bestFit="1" customWidth="1"/>
    <col min="15401" max="15401" width="12.85546875" style="191" customWidth="1"/>
    <col min="15402" max="15405" width="9.140625" style="191"/>
    <col min="15406" max="15406" width="27.85546875" style="191" bestFit="1" customWidth="1"/>
    <col min="15407" max="15408" width="12.7109375" style="191" customWidth="1"/>
    <col min="15409" max="15409" width="9.140625" style="191"/>
    <col min="15410" max="15410" width="17" style="191" bestFit="1" customWidth="1"/>
    <col min="15411" max="15412" width="9.140625" style="191"/>
    <col min="15413" max="15413" width="14" style="191" bestFit="1" customWidth="1"/>
    <col min="15414" max="15414" width="12" style="191" bestFit="1" customWidth="1"/>
    <col min="15415" max="15415" width="12.5703125" style="191" bestFit="1" customWidth="1"/>
    <col min="15416" max="15416" width="14" style="191" bestFit="1" customWidth="1"/>
    <col min="15417" max="15417" width="19" style="191" bestFit="1" customWidth="1"/>
    <col min="15418" max="15418" width="15.7109375" style="191" bestFit="1" customWidth="1"/>
    <col min="15419" max="15419" width="22.28515625" style="191" bestFit="1" customWidth="1"/>
    <col min="15420" max="15420" width="10.5703125" style="191" bestFit="1" customWidth="1"/>
    <col min="15421" max="15421" width="14" style="191" bestFit="1" customWidth="1"/>
    <col min="15422" max="15422" width="14.85546875" style="191" bestFit="1" customWidth="1"/>
    <col min="15423" max="15423" width="11.28515625" style="191" bestFit="1" customWidth="1"/>
    <col min="15424" max="15424" width="14.7109375" style="191" bestFit="1" customWidth="1"/>
    <col min="15425" max="15425" width="11.5703125" style="191" bestFit="1" customWidth="1"/>
    <col min="15426" max="15426" width="18" style="191" bestFit="1" customWidth="1"/>
    <col min="15427" max="15427" width="7.42578125" style="191" bestFit="1" customWidth="1"/>
    <col min="15428" max="15428" width="14" style="191" bestFit="1" customWidth="1"/>
    <col min="15429" max="15433" width="14" style="191" customWidth="1"/>
    <col min="15434" max="15434" width="13.7109375" style="191" bestFit="1" customWidth="1"/>
    <col min="15435" max="15435" width="12.140625" style="191" bestFit="1" customWidth="1"/>
    <col min="15436" max="15436" width="10.5703125" style="191" bestFit="1" customWidth="1"/>
    <col min="15437" max="15438" width="18" style="191" bestFit="1" customWidth="1"/>
    <col min="15439" max="15439" width="8.7109375" style="191" bestFit="1" customWidth="1"/>
    <col min="15440" max="15440" width="14.5703125" style="191" bestFit="1" customWidth="1"/>
    <col min="15441" max="15441" width="15.140625" style="191" bestFit="1" customWidth="1"/>
    <col min="15442" max="15442" width="14.42578125" style="191" bestFit="1" customWidth="1"/>
    <col min="15443" max="15443" width="18.140625" style="191" bestFit="1" customWidth="1"/>
    <col min="15444" max="15444" width="11.28515625" style="191" bestFit="1" customWidth="1"/>
    <col min="15445" max="15445" width="18.85546875" style="191" bestFit="1" customWidth="1"/>
    <col min="15446" max="15446" width="15.5703125" style="191" bestFit="1" customWidth="1"/>
    <col min="15447" max="15447" width="20.42578125" style="191" bestFit="1" customWidth="1"/>
    <col min="15448" max="15448" width="11.42578125" style="191" bestFit="1" customWidth="1"/>
    <col min="15449" max="15449" width="19.42578125" style="191" bestFit="1" customWidth="1"/>
    <col min="15450" max="15450" width="16.28515625" style="191" bestFit="1" customWidth="1"/>
    <col min="15451" max="15451" width="11.42578125" style="191" bestFit="1" customWidth="1"/>
    <col min="15452" max="15452" width="7.5703125" style="191" bestFit="1" customWidth="1"/>
    <col min="15453" max="15453" width="18" style="191" bestFit="1" customWidth="1"/>
    <col min="15454" max="15454" width="14.5703125" style="191" bestFit="1" customWidth="1"/>
    <col min="15455" max="15455" width="14.42578125" style="191" bestFit="1" customWidth="1"/>
    <col min="15456" max="15456" width="12.85546875" style="191" bestFit="1" customWidth="1"/>
    <col min="15457" max="15457" width="8.140625" style="191" bestFit="1" customWidth="1"/>
    <col min="15458" max="15458" width="7.7109375" style="191" bestFit="1" customWidth="1"/>
    <col min="15459" max="15459" width="18.85546875" style="191" bestFit="1" customWidth="1"/>
    <col min="15460" max="15460" width="13.7109375" style="191" bestFit="1" customWidth="1"/>
    <col min="15461" max="15461" width="7.5703125" style="191" bestFit="1" customWidth="1"/>
    <col min="15462" max="15462" width="10.85546875" style="191" bestFit="1" customWidth="1"/>
    <col min="15463" max="15463" width="12.85546875" style="191" bestFit="1" customWidth="1"/>
    <col min="15464" max="15468" width="14" style="191" customWidth="1"/>
    <col min="15469" max="15469" width="15.42578125" style="191" bestFit="1" customWidth="1"/>
    <col min="15470" max="15470" width="13.140625" style="191" bestFit="1" customWidth="1"/>
    <col min="15471" max="15471" width="18.140625" style="191" bestFit="1" customWidth="1"/>
    <col min="15472" max="15473" width="15.42578125" style="191" bestFit="1" customWidth="1"/>
    <col min="15474" max="15474" width="9.7109375" style="191" bestFit="1" customWidth="1"/>
    <col min="15475" max="15475" width="15.85546875" style="191" bestFit="1" customWidth="1"/>
    <col min="15476" max="15480" width="14" style="191" customWidth="1"/>
    <col min="15481" max="15481" width="18.42578125" style="191" bestFit="1" customWidth="1"/>
    <col min="15482" max="15482" width="15.140625" style="191" bestFit="1" customWidth="1"/>
    <col min="15483" max="15483" width="15" style="191" bestFit="1" customWidth="1"/>
    <col min="15484" max="15484" width="18.140625" style="191" bestFit="1" customWidth="1"/>
    <col min="15485" max="15485" width="8.7109375" style="191" bestFit="1" customWidth="1"/>
    <col min="15486" max="15486" width="18.42578125" style="191" bestFit="1" customWidth="1"/>
    <col min="15487" max="15487" width="14.85546875" style="191" bestFit="1" customWidth="1"/>
    <col min="15488" max="15488" width="14.140625" style="191" bestFit="1" customWidth="1"/>
    <col min="15489" max="15489" width="13.42578125" style="191" bestFit="1" customWidth="1"/>
    <col min="15490" max="15490" width="8.7109375" style="191" bestFit="1" customWidth="1"/>
    <col min="15491" max="15491" width="15.42578125" style="191" bestFit="1" customWidth="1"/>
    <col min="15492" max="15492" width="12.85546875" style="191" bestFit="1" customWidth="1"/>
    <col min="15493" max="15493" width="15.42578125" style="191" bestFit="1" customWidth="1"/>
    <col min="15494" max="15494" width="19.85546875" style="191" bestFit="1" customWidth="1"/>
    <col min="15495" max="15495" width="10.5703125" style="191" bestFit="1" customWidth="1"/>
    <col min="15496" max="15496" width="19.85546875" style="191" bestFit="1" customWidth="1"/>
    <col min="15497" max="15497" width="15.28515625" style="191" bestFit="1" customWidth="1"/>
    <col min="15498" max="15498" width="15.85546875" style="191" bestFit="1" customWidth="1"/>
    <col min="15499" max="15499" width="17.42578125" style="191" bestFit="1" customWidth="1"/>
    <col min="15500" max="15500" width="14" style="191" bestFit="1" customWidth="1"/>
    <col min="15501" max="15507" width="14" style="191" customWidth="1"/>
    <col min="15508" max="15508" width="17.42578125" style="191" bestFit="1" customWidth="1"/>
    <col min="15509" max="15509" width="14" style="191" customWidth="1"/>
    <col min="15510" max="15510" width="9.5703125" style="191" bestFit="1" customWidth="1"/>
    <col min="15511" max="15511" width="15.5703125" style="191" bestFit="1" customWidth="1"/>
    <col min="15512" max="15512" width="16.5703125" style="191" bestFit="1" customWidth="1"/>
    <col min="15513" max="15513" width="14" style="191" customWidth="1"/>
    <col min="15514" max="15514" width="9.5703125" style="191" bestFit="1" customWidth="1"/>
    <col min="15515" max="15515" width="15.5703125" style="191" bestFit="1" customWidth="1"/>
    <col min="15516" max="15516" width="16.5703125" style="191" bestFit="1" customWidth="1"/>
    <col min="15517" max="15517" width="14.140625" style="191" bestFit="1" customWidth="1"/>
    <col min="15518" max="15522" width="14" style="191" customWidth="1"/>
    <col min="15523" max="15638" width="9.140625" style="191"/>
    <col min="15639" max="15639" width="0.140625" style="191" customWidth="1"/>
    <col min="15640" max="15640" width="17.140625" style="191" customWidth="1"/>
    <col min="15641" max="15641" width="8.5703125" style="191" customWidth="1"/>
    <col min="15642" max="15650" width="0" style="191" hidden="1" customWidth="1"/>
    <col min="15651" max="15651" width="5.140625" style="191" customWidth="1"/>
    <col min="15652" max="15652" width="0" style="191" hidden="1" customWidth="1"/>
    <col min="15653" max="15653" width="4.140625" style="191" customWidth="1"/>
    <col min="15654" max="15654" width="1.7109375" style="191" customWidth="1"/>
    <col min="15655" max="15655" width="5.28515625" style="191" customWidth="1"/>
    <col min="15656" max="15656" width="12.85546875" style="191" bestFit="1" customWidth="1"/>
    <col min="15657" max="15657" width="12.85546875" style="191" customWidth="1"/>
    <col min="15658" max="15661" width="9.140625" style="191"/>
    <col min="15662" max="15662" width="27.85546875" style="191" bestFit="1" customWidth="1"/>
    <col min="15663" max="15664" width="12.7109375" style="191" customWidth="1"/>
    <col min="15665" max="15665" width="9.140625" style="191"/>
    <col min="15666" max="15666" width="17" style="191" bestFit="1" customWidth="1"/>
    <col min="15667" max="15668" width="9.140625" style="191"/>
    <col min="15669" max="15669" width="14" style="191" bestFit="1" customWidth="1"/>
    <col min="15670" max="15670" width="12" style="191" bestFit="1" customWidth="1"/>
    <col min="15671" max="15671" width="12.5703125" style="191" bestFit="1" customWidth="1"/>
    <col min="15672" max="15672" width="14" style="191" bestFit="1" customWidth="1"/>
    <col min="15673" max="15673" width="19" style="191" bestFit="1" customWidth="1"/>
    <col min="15674" max="15674" width="15.7109375" style="191" bestFit="1" customWidth="1"/>
    <col min="15675" max="15675" width="22.28515625" style="191" bestFit="1" customWidth="1"/>
    <col min="15676" max="15676" width="10.5703125" style="191" bestFit="1" customWidth="1"/>
    <col min="15677" max="15677" width="14" style="191" bestFit="1" customWidth="1"/>
    <col min="15678" max="15678" width="14.85546875" style="191" bestFit="1" customWidth="1"/>
    <col min="15679" max="15679" width="11.28515625" style="191" bestFit="1" customWidth="1"/>
    <col min="15680" max="15680" width="14.7109375" style="191" bestFit="1" customWidth="1"/>
    <col min="15681" max="15681" width="11.5703125" style="191" bestFit="1" customWidth="1"/>
    <col min="15682" max="15682" width="18" style="191" bestFit="1" customWidth="1"/>
    <col min="15683" max="15683" width="7.42578125" style="191" bestFit="1" customWidth="1"/>
    <col min="15684" max="15684" width="14" style="191" bestFit="1" customWidth="1"/>
    <col min="15685" max="15689" width="14" style="191" customWidth="1"/>
    <col min="15690" max="15690" width="13.7109375" style="191" bestFit="1" customWidth="1"/>
    <col min="15691" max="15691" width="12.140625" style="191" bestFit="1" customWidth="1"/>
    <col min="15692" max="15692" width="10.5703125" style="191" bestFit="1" customWidth="1"/>
    <col min="15693" max="15694" width="18" style="191" bestFit="1" customWidth="1"/>
    <col min="15695" max="15695" width="8.7109375" style="191" bestFit="1" customWidth="1"/>
    <col min="15696" max="15696" width="14.5703125" style="191" bestFit="1" customWidth="1"/>
    <col min="15697" max="15697" width="15.140625" style="191" bestFit="1" customWidth="1"/>
    <col min="15698" max="15698" width="14.42578125" style="191" bestFit="1" customWidth="1"/>
    <col min="15699" max="15699" width="18.140625" style="191" bestFit="1" customWidth="1"/>
    <col min="15700" max="15700" width="11.28515625" style="191" bestFit="1" customWidth="1"/>
    <col min="15701" max="15701" width="18.85546875" style="191" bestFit="1" customWidth="1"/>
    <col min="15702" max="15702" width="15.5703125" style="191" bestFit="1" customWidth="1"/>
    <col min="15703" max="15703" width="20.42578125" style="191" bestFit="1" customWidth="1"/>
    <col min="15704" max="15704" width="11.42578125" style="191" bestFit="1" customWidth="1"/>
    <col min="15705" max="15705" width="19.42578125" style="191" bestFit="1" customWidth="1"/>
    <col min="15706" max="15706" width="16.28515625" style="191" bestFit="1" customWidth="1"/>
    <col min="15707" max="15707" width="11.42578125" style="191" bestFit="1" customWidth="1"/>
    <col min="15708" max="15708" width="7.5703125" style="191" bestFit="1" customWidth="1"/>
    <col min="15709" max="15709" width="18" style="191" bestFit="1" customWidth="1"/>
    <col min="15710" max="15710" width="14.5703125" style="191" bestFit="1" customWidth="1"/>
    <col min="15711" max="15711" width="14.42578125" style="191" bestFit="1" customWidth="1"/>
    <col min="15712" max="15712" width="12.85546875" style="191" bestFit="1" customWidth="1"/>
    <col min="15713" max="15713" width="8.140625" style="191" bestFit="1" customWidth="1"/>
    <col min="15714" max="15714" width="7.7109375" style="191" bestFit="1" customWidth="1"/>
    <col min="15715" max="15715" width="18.85546875" style="191" bestFit="1" customWidth="1"/>
    <col min="15716" max="15716" width="13.7109375" style="191" bestFit="1" customWidth="1"/>
    <col min="15717" max="15717" width="7.5703125" style="191" bestFit="1" customWidth="1"/>
    <col min="15718" max="15718" width="10.85546875" style="191" bestFit="1" customWidth="1"/>
    <col min="15719" max="15719" width="12.85546875" style="191" bestFit="1" customWidth="1"/>
    <col min="15720" max="15724" width="14" style="191" customWidth="1"/>
    <col min="15725" max="15725" width="15.42578125" style="191" bestFit="1" customWidth="1"/>
    <col min="15726" max="15726" width="13.140625" style="191" bestFit="1" customWidth="1"/>
    <col min="15727" max="15727" width="18.140625" style="191" bestFit="1" customWidth="1"/>
    <col min="15728" max="15729" width="15.42578125" style="191" bestFit="1" customWidth="1"/>
    <col min="15730" max="15730" width="9.7109375" style="191" bestFit="1" customWidth="1"/>
    <col min="15731" max="15731" width="15.85546875" style="191" bestFit="1" customWidth="1"/>
    <col min="15732" max="15736" width="14" style="191" customWidth="1"/>
    <col min="15737" max="15737" width="18.42578125" style="191" bestFit="1" customWidth="1"/>
    <col min="15738" max="15738" width="15.140625" style="191" bestFit="1" customWidth="1"/>
    <col min="15739" max="15739" width="15" style="191" bestFit="1" customWidth="1"/>
    <col min="15740" max="15740" width="18.140625" style="191" bestFit="1" customWidth="1"/>
    <col min="15741" max="15741" width="8.7109375" style="191" bestFit="1" customWidth="1"/>
    <col min="15742" max="15742" width="18.42578125" style="191" bestFit="1" customWidth="1"/>
    <col min="15743" max="15743" width="14.85546875" style="191" bestFit="1" customWidth="1"/>
    <col min="15744" max="15744" width="14.140625" style="191" bestFit="1" customWidth="1"/>
    <col min="15745" max="15745" width="13.42578125" style="191" bestFit="1" customWidth="1"/>
    <col min="15746" max="15746" width="8.7109375" style="191" bestFit="1" customWidth="1"/>
    <col min="15747" max="15747" width="15.42578125" style="191" bestFit="1" customWidth="1"/>
    <col min="15748" max="15748" width="12.85546875" style="191" bestFit="1" customWidth="1"/>
    <col min="15749" max="15749" width="15.42578125" style="191" bestFit="1" customWidth="1"/>
    <col min="15750" max="15750" width="19.85546875" style="191" bestFit="1" customWidth="1"/>
    <col min="15751" max="15751" width="10.5703125" style="191" bestFit="1" customWidth="1"/>
    <col min="15752" max="15752" width="19.85546875" style="191" bestFit="1" customWidth="1"/>
    <col min="15753" max="15753" width="15.28515625" style="191" bestFit="1" customWidth="1"/>
    <col min="15754" max="15754" width="15.85546875" style="191" bestFit="1" customWidth="1"/>
    <col min="15755" max="15755" width="17.42578125" style="191" bestFit="1" customWidth="1"/>
    <col min="15756" max="15756" width="14" style="191" bestFit="1" customWidth="1"/>
    <col min="15757" max="15763" width="14" style="191" customWidth="1"/>
    <col min="15764" max="15764" width="17.42578125" style="191" bestFit="1" customWidth="1"/>
    <col min="15765" max="15765" width="14" style="191" customWidth="1"/>
    <col min="15766" max="15766" width="9.5703125" style="191" bestFit="1" customWidth="1"/>
    <col min="15767" max="15767" width="15.5703125" style="191" bestFit="1" customWidth="1"/>
    <col min="15768" max="15768" width="16.5703125" style="191" bestFit="1" customWidth="1"/>
    <col min="15769" max="15769" width="14" style="191" customWidth="1"/>
    <col min="15770" max="15770" width="9.5703125" style="191" bestFit="1" customWidth="1"/>
    <col min="15771" max="15771" width="15.5703125" style="191" bestFit="1" customWidth="1"/>
    <col min="15772" max="15772" width="16.5703125" style="191" bestFit="1" customWidth="1"/>
    <col min="15773" max="15773" width="14.140625" style="191" bestFit="1" customWidth="1"/>
    <col min="15774" max="15778" width="14" style="191" customWidth="1"/>
    <col min="15779" max="15894" width="9.140625" style="191"/>
    <col min="15895" max="15895" width="0.140625" style="191" customWidth="1"/>
    <col min="15896" max="15896" width="17.140625" style="191" customWidth="1"/>
    <col min="15897" max="15897" width="8.5703125" style="191" customWidth="1"/>
    <col min="15898" max="15906" width="0" style="191" hidden="1" customWidth="1"/>
    <col min="15907" max="15907" width="5.140625" style="191" customWidth="1"/>
    <col min="15908" max="15908" width="0" style="191" hidden="1" customWidth="1"/>
    <col min="15909" max="15909" width="4.140625" style="191" customWidth="1"/>
    <col min="15910" max="15910" width="1.7109375" style="191" customWidth="1"/>
    <col min="15911" max="15911" width="5.28515625" style="191" customWidth="1"/>
    <col min="15912" max="15912" width="12.85546875" style="191" bestFit="1" customWidth="1"/>
    <col min="15913" max="15913" width="12.85546875" style="191" customWidth="1"/>
    <col min="15914" max="15917" width="9.140625" style="191"/>
    <col min="15918" max="15918" width="27.85546875" style="191" bestFit="1" customWidth="1"/>
    <col min="15919" max="15920" width="12.7109375" style="191" customWidth="1"/>
    <col min="15921" max="15921" width="9.140625" style="191"/>
    <col min="15922" max="15922" width="17" style="191" bestFit="1" customWidth="1"/>
    <col min="15923" max="15924" width="9.140625" style="191"/>
    <col min="15925" max="15925" width="14" style="191" bestFit="1" customWidth="1"/>
    <col min="15926" max="15926" width="12" style="191" bestFit="1" customWidth="1"/>
    <col min="15927" max="15927" width="12.5703125" style="191" bestFit="1" customWidth="1"/>
    <col min="15928" max="15928" width="14" style="191" bestFit="1" customWidth="1"/>
    <col min="15929" max="15929" width="19" style="191" bestFit="1" customWidth="1"/>
    <col min="15930" max="15930" width="15.7109375" style="191" bestFit="1" customWidth="1"/>
    <col min="15931" max="15931" width="22.28515625" style="191" bestFit="1" customWidth="1"/>
    <col min="15932" max="15932" width="10.5703125" style="191" bestFit="1" customWidth="1"/>
    <col min="15933" max="15933" width="14" style="191" bestFit="1" customWidth="1"/>
    <col min="15934" max="15934" width="14.85546875" style="191" bestFit="1" customWidth="1"/>
    <col min="15935" max="15935" width="11.28515625" style="191" bestFit="1" customWidth="1"/>
    <col min="15936" max="15936" width="14.7109375" style="191" bestFit="1" customWidth="1"/>
    <col min="15937" max="15937" width="11.5703125" style="191" bestFit="1" customWidth="1"/>
    <col min="15938" max="15938" width="18" style="191" bestFit="1" customWidth="1"/>
    <col min="15939" max="15939" width="7.42578125" style="191" bestFit="1" customWidth="1"/>
    <col min="15940" max="15940" width="14" style="191" bestFit="1" customWidth="1"/>
    <col min="15941" max="15945" width="14" style="191" customWidth="1"/>
    <col min="15946" max="15946" width="13.7109375" style="191" bestFit="1" customWidth="1"/>
    <col min="15947" max="15947" width="12.140625" style="191" bestFit="1" customWidth="1"/>
    <col min="15948" max="15948" width="10.5703125" style="191" bestFit="1" customWidth="1"/>
    <col min="15949" max="15950" width="18" style="191" bestFit="1" customWidth="1"/>
    <col min="15951" max="15951" width="8.7109375" style="191" bestFit="1" customWidth="1"/>
    <col min="15952" max="15952" width="14.5703125" style="191" bestFit="1" customWidth="1"/>
    <col min="15953" max="15953" width="15.140625" style="191" bestFit="1" customWidth="1"/>
    <col min="15954" max="15954" width="14.42578125" style="191" bestFit="1" customWidth="1"/>
    <col min="15955" max="15955" width="18.140625" style="191" bestFit="1" customWidth="1"/>
    <col min="15956" max="15956" width="11.28515625" style="191" bestFit="1" customWidth="1"/>
    <col min="15957" max="15957" width="18.85546875" style="191" bestFit="1" customWidth="1"/>
    <col min="15958" max="15958" width="15.5703125" style="191" bestFit="1" customWidth="1"/>
    <col min="15959" max="15959" width="20.42578125" style="191" bestFit="1" customWidth="1"/>
    <col min="15960" max="15960" width="11.42578125" style="191" bestFit="1" customWidth="1"/>
    <col min="15961" max="15961" width="19.42578125" style="191" bestFit="1" customWidth="1"/>
    <col min="15962" max="15962" width="16.28515625" style="191" bestFit="1" customWidth="1"/>
    <col min="15963" max="15963" width="11.42578125" style="191" bestFit="1" customWidth="1"/>
    <col min="15964" max="15964" width="7.5703125" style="191" bestFit="1" customWidth="1"/>
    <col min="15965" max="15965" width="18" style="191" bestFit="1" customWidth="1"/>
    <col min="15966" max="15966" width="14.5703125" style="191" bestFit="1" customWidth="1"/>
    <col min="15967" max="15967" width="14.42578125" style="191" bestFit="1" customWidth="1"/>
    <col min="15968" max="15968" width="12.85546875" style="191" bestFit="1" customWidth="1"/>
    <col min="15969" max="15969" width="8.140625" style="191" bestFit="1" customWidth="1"/>
    <col min="15970" max="15970" width="7.7109375" style="191" bestFit="1" customWidth="1"/>
    <col min="15971" max="15971" width="18.85546875" style="191" bestFit="1" customWidth="1"/>
    <col min="15972" max="15972" width="13.7109375" style="191" bestFit="1" customWidth="1"/>
    <col min="15973" max="15973" width="7.5703125" style="191" bestFit="1" customWidth="1"/>
    <col min="15974" max="15974" width="10.85546875" style="191" bestFit="1" customWidth="1"/>
    <col min="15975" max="15975" width="12.85546875" style="191" bestFit="1" customWidth="1"/>
    <col min="15976" max="15980" width="14" style="191" customWidth="1"/>
    <col min="15981" max="15981" width="15.42578125" style="191" bestFit="1" customWidth="1"/>
    <col min="15982" max="15982" width="13.140625" style="191" bestFit="1" customWidth="1"/>
    <col min="15983" max="15983" width="18.140625" style="191" bestFit="1" customWidth="1"/>
    <col min="15984" max="15985" width="15.42578125" style="191" bestFit="1" customWidth="1"/>
    <col min="15986" max="15986" width="9.7109375" style="191" bestFit="1" customWidth="1"/>
    <col min="15987" max="15987" width="15.85546875" style="191" bestFit="1" customWidth="1"/>
    <col min="15988" max="15992" width="14" style="191" customWidth="1"/>
    <col min="15993" max="15993" width="18.42578125" style="191" bestFit="1" customWidth="1"/>
    <col min="15994" max="15994" width="15.140625" style="191" bestFit="1" customWidth="1"/>
    <col min="15995" max="15995" width="15" style="191" bestFit="1" customWidth="1"/>
    <col min="15996" max="15996" width="18.140625" style="191" bestFit="1" customWidth="1"/>
    <col min="15997" max="15997" width="8.7109375" style="191" bestFit="1" customWidth="1"/>
    <col min="15998" max="15998" width="18.42578125" style="191" bestFit="1" customWidth="1"/>
    <col min="15999" max="15999" width="14.85546875" style="191" bestFit="1" customWidth="1"/>
    <col min="16000" max="16000" width="14.140625" style="191" bestFit="1" customWidth="1"/>
    <col min="16001" max="16001" width="13.42578125" style="191" bestFit="1" customWidth="1"/>
    <col min="16002" max="16002" width="8.7109375" style="191" bestFit="1" customWidth="1"/>
    <col min="16003" max="16003" width="15.42578125" style="191" bestFit="1" customWidth="1"/>
    <col min="16004" max="16004" width="12.85546875" style="191" bestFit="1" customWidth="1"/>
    <col min="16005" max="16005" width="15.42578125" style="191" bestFit="1" customWidth="1"/>
    <col min="16006" max="16006" width="19.85546875" style="191" bestFit="1" customWidth="1"/>
    <col min="16007" max="16007" width="10.5703125" style="191" bestFit="1" customWidth="1"/>
    <col min="16008" max="16008" width="19.85546875" style="191" bestFit="1" customWidth="1"/>
    <col min="16009" max="16009" width="15.28515625" style="191" bestFit="1" customWidth="1"/>
    <col min="16010" max="16010" width="15.85546875" style="191" bestFit="1" customWidth="1"/>
    <col min="16011" max="16011" width="17.42578125" style="191" bestFit="1" customWidth="1"/>
    <col min="16012" max="16012" width="14" style="191" bestFit="1" customWidth="1"/>
    <col min="16013" max="16019" width="14" style="191" customWidth="1"/>
    <col min="16020" max="16020" width="17.42578125" style="191" bestFit="1" customWidth="1"/>
    <col min="16021" max="16021" width="14" style="191" customWidth="1"/>
    <col min="16022" max="16022" width="9.5703125" style="191" bestFit="1" customWidth="1"/>
    <col min="16023" max="16023" width="15.5703125" style="191" bestFit="1" customWidth="1"/>
    <col min="16024" max="16024" width="16.5703125" style="191" bestFit="1" customWidth="1"/>
    <col min="16025" max="16025" width="14" style="191" customWidth="1"/>
    <col min="16026" max="16026" width="9.5703125" style="191" bestFit="1" customWidth="1"/>
    <col min="16027" max="16027" width="15.5703125" style="191" bestFit="1" customWidth="1"/>
    <col min="16028" max="16028" width="16.5703125" style="191" bestFit="1" customWidth="1"/>
    <col min="16029" max="16029" width="14.140625" style="191" bestFit="1" customWidth="1"/>
    <col min="16030" max="16034" width="14" style="191" customWidth="1"/>
    <col min="16035" max="16150" width="9.140625" style="191"/>
    <col min="16151" max="16151" width="0.140625" style="191" customWidth="1"/>
    <col min="16152" max="16152" width="17.140625" style="191" customWidth="1"/>
    <col min="16153" max="16153" width="8.5703125" style="191" customWidth="1"/>
    <col min="16154" max="16162" width="0" style="191" hidden="1" customWidth="1"/>
    <col min="16163" max="16163" width="5.140625" style="191" customWidth="1"/>
    <col min="16164" max="16164" width="0" style="191" hidden="1" customWidth="1"/>
    <col min="16165" max="16165" width="4.140625" style="191" customWidth="1"/>
    <col min="16166" max="16166" width="1.7109375" style="191" customWidth="1"/>
    <col min="16167" max="16167" width="5.28515625" style="191" customWidth="1"/>
    <col min="16168" max="16168" width="12.85546875" style="191" bestFit="1" customWidth="1"/>
    <col min="16169" max="16169" width="12.85546875" style="191" customWidth="1"/>
    <col min="16170" max="16173" width="9.140625" style="191"/>
    <col min="16174" max="16174" width="27.85546875" style="191" bestFit="1" customWidth="1"/>
    <col min="16175" max="16176" width="12.7109375" style="191" customWidth="1"/>
    <col min="16177" max="16177" width="9.140625" style="191"/>
    <col min="16178" max="16178" width="17" style="191" bestFit="1" customWidth="1"/>
    <col min="16179" max="16180" width="9.140625" style="191"/>
    <col min="16181" max="16181" width="14" style="191" bestFit="1" customWidth="1"/>
    <col min="16182" max="16182" width="12" style="191" bestFit="1" customWidth="1"/>
    <col min="16183" max="16183" width="12.5703125" style="191" bestFit="1" customWidth="1"/>
    <col min="16184" max="16184" width="14" style="191" bestFit="1" customWidth="1"/>
    <col min="16185" max="16185" width="19" style="191" bestFit="1" customWidth="1"/>
    <col min="16186" max="16186" width="15.7109375" style="191" bestFit="1" customWidth="1"/>
    <col min="16187" max="16187" width="22.28515625" style="191" bestFit="1" customWidth="1"/>
    <col min="16188" max="16188" width="10.5703125" style="191" bestFit="1" customWidth="1"/>
    <col min="16189" max="16189" width="14" style="191" bestFit="1" customWidth="1"/>
    <col min="16190" max="16190" width="14.85546875" style="191" bestFit="1" customWidth="1"/>
    <col min="16191" max="16191" width="11.28515625" style="191" bestFit="1" customWidth="1"/>
    <col min="16192" max="16192" width="14.7109375" style="191" bestFit="1" customWidth="1"/>
    <col min="16193" max="16193" width="11.5703125" style="191" bestFit="1" customWidth="1"/>
    <col min="16194" max="16194" width="18" style="191" bestFit="1" customWidth="1"/>
    <col min="16195" max="16195" width="7.42578125" style="191" bestFit="1" customWidth="1"/>
    <col min="16196" max="16196" width="14" style="191" bestFit="1" customWidth="1"/>
    <col min="16197" max="16201" width="14" style="191" customWidth="1"/>
    <col min="16202" max="16202" width="13.7109375" style="191" bestFit="1" customWidth="1"/>
    <col min="16203" max="16203" width="12.140625" style="191" bestFit="1" customWidth="1"/>
    <col min="16204" max="16204" width="10.5703125" style="191" bestFit="1" customWidth="1"/>
    <col min="16205" max="16206" width="18" style="191" bestFit="1" customWidth="1"/>
    <col min="16207" max="16207" width="8.7109375" style="191" bestFit="1" customWidth="1"/>
    <col min="16208" max="16208" width="14.5703125" style="191" bestFit="1" customWidth="1"/>
    <col min="16209" max="16209" width="15.140625" style="191" bestFit="1" customWidth="1"/>
    <col min="16210" max="16210" width="14.42578125" style="191" bestFit="1" customWidth="1"/>
    <col min="16211" max="16211" width="18.140625" style="191" bestFit="1" customWidth="1"/>
    <col min="16212" max="16212" width="11.28515625" style="191" bestFit="1" customWidth="1"/>
    <col min="16213" max="16213" width="18.85546875" style="191" bestFit="1" customWidth="1"/>
    <col min="16214" max="16214" width="15.5703125" style="191" bestFit="1" customWidth="1"/>
    <col min="16215" max="16215" width="20.42578125" style="191" bestFit="1" customWidth="1"/>
    <col min="16216" max="16216" width="11.42578125" style="191" bestFit="1" customWidth="1"/>
    <col min="16217" max="16217" width="19.42578125" style="191" bestFit="1" customWidth="1"/>
    <col min="16218" max="16218" width="16.28515625" style="191" bestFit="1" customWidth="1"/>
    <col min="16219" max="16219" width="11.42578125" style="191" bestFit="1" customWidth="1"/>
    <col min="16220" max="16220" width="7.5703125" style="191" bestFit="1" customWidth="1"/>
    <col min="16221" max="16221" width="18" style="191" bestFit="1" customWidth="1"/>
    <col min="16222" max="16222" width="14.5703125" style="191" bestFit="1" customWidth="1"/>
    <col min="16223" max="16223" width="14.42578125" style="191" bestFit="1" customWidth="1"/>
    <col min="16224" max="16224" width="12.85546875" style="191" bestFit="1" customWidth="1"/>
    <col min="16225" max="16225" width="8.140625" style="191" bestFit="1" customWidth="1"/>
    <col min="16226" max="16226" width="7.7109375" style="191" bestFit="1" customWidth="1"/>
    <col min="16227" max="16227" width="18.85546875" style="191" bestFit="1" customWidth="1"/>
    <col min="16228" max="16228" width="13.7109375" style="191" bestFit="1" customWidth="1"/>
    <col min="16229" max="16229" width="7.5703125" style="191" bestFit="1" customWidth="1"/>
    <col min="16230" max="16230" width="10.85546875" style="191" bestFit="1" customWidth="1"/>
    <col min="16231" max="16231" width="12.85546875" style="191" bestFit="1" customWidth="1"/>
    <col min="16232" max="16236" width="14" style="191" customWidth="1"/>
    <col min="16237" max="16237" width="15.42578125" style="191" bestFit="1" customWidth="1"/>
    <col min="16238" max="16238" width="13.140625" style="191" bestFit="1" customWidth="1"/>
    <col min="16239" max="16239" width="18.140625" style="191" bestFit="1" customWidth="1"/>
    <col min="16240" max="16241" width="15.42578125" style="191" bestFit="1" customWidth="1"/>
    <col min="16242" max="16242" width="9.7109375" style="191" bestFit="1" customWidth="1"/>
    <col min="16243" max="16243" width="15.85546875" style="191" bestFit="1" customWidth="1"/>
    <col min="16244" max="16248" width="14" style="191" customWidth="1"/>
    <col min="16249" max="16249" width="18.42578125" style="191" bestFit="1" customWidth="1"/>
    <col min="16250" max="16250" width="15.140625" style="191" bestFit="1" customWidth="1"/>
    <col min="16251" max="16251" width="15" style="191" bestFit="1" customWidth="1"/>
    <col min="16252" max="16252" width="18.140625" style="191" bestFit="1" customWidth="1"/>
    <col min="16253" max="16253" width="8.7109375" style="191" bestFit="1" customWidth="1"/>
    <col min="16254" max="16254" width="18.42578125" style="191" bestFit="1" customWidth="1"/>
    <col min="16255" max="16255" width="14.85546875" style="191" bestFit="1" customWidth="1"/>
    <col min="16256" max="16256" width="14.140625" style="191" bestFit="1" customWidth="1"/>
    <col min="16257" max="16257" width="13.42578125" style="191" bestFit="1" customWidth="1"/>
    <col min="16258" max="16258" width="8.7109375" style="191" bestFit="1" customWidth="1"/>
    <col min="16259" max="16259" width="15.42578125" style="191" bestFit="1" customWidth="1"/>
    <col min="16260" max="16260" width="12.85546875" style="191" bestFit="1" customWidth="1"/>
    <col min="16261" max="16261" width="15.42578125" style="191" bestFit="1" customWidth="1"/>
    <col min="16262" max="16262" width="19.85546875" style="191" bestFit="1" customWidth="1"/>
    <col min="16263" max="16263" width="10.5703125" style="191" bestFit="1" customWidth="1"/>
    <col min="16264" max="16264" width="19.85546875" style="191" bestFit="1" customWidth="1"/>
    <col min="16265" max="16265" width="15.28515625" style="191" bestFit="1" customWidth="1"/>
    <col min="16266" max="16266" width="15.85546875" style="191" bestFit="1" customWidth="1"/>
    <col min="16267" max="16267" width="17.42578125" style="191" bestFit="1" customWidth="1"/>
    <col min="16268" max="16268" width="14" style="191" bestFit="1" customWidth="1"/>
    <col min="16269" max="16275" width="14" style="191" customWidth="1"/>
    <col min="16276" max="16276" width="17.42578125" style="191" bestFit="1" customWidth="1"/>
    <col min="16277" max="16277" width="14" style="191" customWidth="1"/>
    <col min="16278" max="16278" width="9.5703125" style="191" bestFit="1" customWidth="1"/>
    <col min="16279" max="16279" width="15.5703125" style="191" bestFit="1" customWidth="1"/>
    <col min="16280" max="16280" width="16.5703125" style="191" bestFit="1" customWidth="1"/>
    <col min="16281" max="16281" width="14" style="191" customWidth="1"/>
    <col min="16282" max="16282" width="9.5703125" style="191" bestFit="1" customWidth="1"/>
    <col min="16283" max="16283" width="15.5703125" style="191" bestFit="1" customWidth="1"/>
    <col min="16284" max="16284" width="16.5703125" style="191" bestFit="1" customWidth="1"/>
    <col min="16285" max="16285" width="14.140625" style="191" bestFit="1" customWidth="1"/>
    <col min="16286" max="16290" width="14" style="191" customWidth="1"/>
    <col min="16291" max="16384" width="9.140625" style="191"/>
  </cols>
  <sheetData>
    <row r="1" spans="1:169" ht="15.75" thickBot="1" x14ac:dyDescent="0.3"/>
    <row r="2" spans="1:169" ht="35.25" thickBot="1" x14ac:dyDescent="0.3">
      <c r="B2" s="68" t="s">
        <v>129</v>
      </c>
      <c r="C2" s="69" t="s">
        <v>130</v>
      </c>
      <c r="D2" s="70"/>
      <c r="E2" s="71"/>
      <c r="F2" s="71"/>
      <c r="G2" s="71"/>
      <c r="H2" s="70"/>
      <c r="I2" s="70"/>
      <c r="J2" s="70"/>
      <c r="K2" s="71"/>
      <c r="L2" s="71"/>
      <c r="M2" s="69" t="s">
        <v>131</v>
      </c>
      <c r="N2" s="71"/>
      <c r="O2" s="72" t="s">
        <v>132</v>
      </c>
      <c r="P2" s="394"/>
      <c r="Q2" s="395"/>
      <c r="R2" s="395"/>
      <c r="S2" s="395"/>
      <c r="T2" s="396"/>
      <c r="U2" s="121"/>
      <c r="V2" s="122"/>
      <c r="W2" s="122"/>
      <c r="X2" s="122"/>
      <c r="Y2" s="122"/>
    </row>
    <row r="3" spans="1:169" ht="15.75" thickBot="1" x14ac:dyDescent="0.3">
      <c r="A3" s="304">
        <v>1</v>
      </c>
      <c r="B3" s="299" t="s">
        <v>108</v>
      </c>
      <c r="C3" s="300" t="s">
        <v>5</v>
      </c>
      <c r="D3" s="299"/>
      <c r="E3" s="301"/>
      <c r="F3" s="301"/>
      <c r="G3" s="301"/>
      <c r="H3" s="299"/>
      <c r="I3" s="299"/>
      <c r="J3" s="299"/>
      <c r="K3" s="301"/>
      <c r="L3" s="302"/>
      <c r="M3" s="301" t="s">
        <v>166</v>
      </c>
      <c r="N3" s="303"/>
      <c r="O3" s="302">
        <v>42998</v>
      </c>
      <c r="P3" s="277"/>
      <c r="EL3" s="198"/>
      <c r="EM3" s="198"/>
    </row>
    <row r="4" spans="1:169" ht="15.75" thickBot="1" x14ac:dyDescent="0.3">
      <c r="A4" s="304">
        <v>2</v>
      </c>
      <c r="B4" s="299" t="s">
        <v>111</v>
      </c>
      <c r="C4" s="300" t="s">
        <v>3</v>
      </c>
      <c r="D4" s="299"/>
      <c r="E4" s="301"/>
      <c r="F4" s="301"/>
      <c r="G4" s="301"/>
      <c r="H4" s="299"/>
      <c r="I4" s="299"/>
      <c r="J4" s="299"/>
      <c r="K4" s="301"/>
      <c r="L4" s="302"/>
      <c r="M4" s="301" t="s">
        <v>147</v>
      </c>
      <c r="N4" s="303"/>
      <c r="O4" s="302">
        <v>42997</v>
      </c>
      <c r="P4" s="277"/>
      <c r="AI4" s="74" t="s">
        <v>13</v>
      </c>
      <c r="AJ4" s="74" t="s">
        <v>13</v>
      </c>
      <c r="AK4" s="74" t="s">
        <v>13</v>
      </c>
      <c r="AL4" s="137" t="s">
        <v>13</v>
      </c>
      <c r="AM4" s="74" t="s">
        <v>11</v>
      </c>
      <c r="AN4" s="74" t="s">
        <v>11</v>
      </c>
      <c r="AO4" s="137" t="s">
        <v>11</v>
      </c>
      <c r="AP4" s="74" t="s">
        <v>3</v>
      </c>
      <c r="AQ4" s="74" t="s">
        <v>3</v>
      </c>
      <c r="AR4" s="74" t="s">
        <v>3</v>
      </c>
      <c r="AS4" s="74" t="s">
        <v>3</v>
      </c>
      <c r="AT4" s="74" t="s">
        <v>3</v>
      </c>
      <c r="AU4" s="74" t="s">
        <v>3</v>
      </c>
      <c r="AV4" s="137" t="s">
        <v>3</v>
      </c>
      <c r="AW4" s="74" t="s">
        <v>5</v>
      </c>
      <c r="AX4" s="74" t="s">
        <v>5</v>
      </c>
      <c r="AY4" s="74" t="s">
        <v>5</v>
      </c>
      <c r="AZ4" s="74" t="s">
        <v>5</v>
      </c>
      <c r="BA4" s="74" t="s">
        <v>5</v>
      </c>
      <c r="BB4" s="74" t="s">
        <v>5</v>
      </c>
      <c r="BC4" s="74" t="s">
        <v>5</v>
      </c>
      <c r="BD4" s="137" t="s">
        <v>5</v>
      </c>
      <c r="BE4" s="75"/>
      <c r="BF4" s="75"/>
      <c r="BG4" s="75"/>
      <c r="BH4" s="75"/>
      <c r="BI4" s="76" t="s">
        <v>3</v>
      </c>
      <c r="BJ4" s="76" t="s">
        <v>3</v>
      </c>
      <c r="BK4" s="76" t="s">
        <v>3</v>
      </c>
      <c r="BL4" s="76" t="s">
        <v>3</v>
      </c>
      <c r="BM4" s="76" t="s">
        <v>3</v>
      </c>
      <c r="BN4" s="76" t="s">
        <v>3</v>
      </c>
      <c r="BO4" s="76" t="s">
        <v>3</v>
      </c>
      <c r="BP4" s="76" t="s">
        <v>3</v>
      </c>
      <c r="BQ4" s="76" t="s">
        <v>3</v>
      </c>
      <c r="BR4" s="76" t="s">
        <v>3</v>
      </c>
      <c r="BS4" s="76" t="s">
        <v>3</v>
      </c>
      <c r="BT4" s="76" t="s">
        <v>3</v>
      </c>
      <c r="BU4" s="76" t="s">
        <v>3</v>
      </c>
      <c r="BV4" s="76" t="s">
        <v>3</v>
      </c>
      <c r="BW4" s="76" t="s">
        <v>3</v>
      </c>
      <c r="BX4" s="76" t="s">
        <v>3</v>
      </c>
      <c r="BY4" s="76" t="s">
        <v>3</v>
      </c>
      <c r="BZ4" s="76" t="s">
        <v>3</v>
      </c>
      <c r="CA4" s="76" t="s">
        <v>3</v>
      </c>
      <c r="CB4" s="76" t="s">
        <v>3</v>
      </c>
      <c r="CC4" s="76" t="s">
        <v>3</v>
      </c>
      <c r="CD4" s="76" t="s">
        <v>3</v>
      </c>
      <c r="CE4" s="137" t="s">
        <v>3</v>
      </c>
      <c r="CF4" s="76" t="s">
        <v>59</v>
      </c>
      <c r="CG4" s="76" t="s">
        <v>59</v>
      </c>
      <c r="CH4" s="76" t="s">
        <v>59</v>
      </c>
      <c r="CI4" s="76" t="s">
        <v>59</v>
      </c>
      <c r="CJ4" s="76" t="s">
        <v>59</v>
      </c>
      <c r="CK4" s="76" t="s">
        <v>59</v>
      </c>
      <c r="CL4" s="76" t="s">
        <v>59</v>
      </c>
      <c r="CM4" s="76" t="s">
        <v>59</v>
      </c>
      <c r="CN4" s="76" t="s">
        <v>59</v>
      </c>
      <c r="CO4" s="76" t="s">
        <v>59</v>
      </c>
      <c r="CP4" s="137" t="s">
        <v>59</v>
      </c>
      <c r="CQ4" s="76" t="s">
        <v>1</v>
      </c>
      <c r="CR4" s="137"/>
      <c r="CS4" s="75"/>
      <c r="CT4" s="75"/>
      <c r="CU4" s="75"/>
      <c r="CV4" s="75"/>
      <c r="CW4" s="77" t="s">
        <v>11</v>
      </c>
      <c r="CX4" s="77" t="s">
        <v>59</v>
      </c>
      <c r="CY4" s="77" t="s">
        <v>59</v>
      </c>
      <c r="CZ4" s="77" t="s">
        <v>59</v>
      </c>
      <c r="DA4" s="137" t="s">
        <v>59</v>
      </c>
      <c r="DB4" s="77" t="s">
        <v>1</v>
      </c>
      <c r="DC4" s="77" t="s">
        <v>1</v>
      </c>
      <c r="DD4" s="77" t="s">
        <v>1</v>
      </c>
      <c r="DE4" s="137" t="s">
        <v>1</v>
      </c>
      <c r="DF4" s="77" t="s">
        <v>5</v>
      </c>
      <c r="DG4" s="77" t="s">
        <v>5</v>
      </c>
      <c r="DH4" s="77" t="s">
        <v>5</v>
      </c>
      <c r="DI4" s="77" t="s">
        <v>5</v>
      </c>
      <c r="DJ4" s="77" t="s">
        <v>5</v>
      </c>
      <c r="DK4" s="77" t="s">
        <v>5</v>
      </c>
      <c r="DL4" s="77" t="s">
        <v>5</v>
      </c>
      <c r="DM4" s="77" t="s">
        <v>5</v>
      </c>
      <c r="DN4" s="77" t="s">
        <v>5</v>
      </c>
      <c r="DO4" s="77" t="s">
        <v>5</v>
      </c>
      <c r="DP4" s="77" t="s">
        <v>5</v>
      </c>
      <c r="DQ4" s="77" t="s">
        <v>5</v>
      </c>
      <c r="DR4" s="77" t="s">
        <v>5</v>
      </c>
      <c r="DS4" s="77" t="s">
        <v>5</v>
      </c>
      <c r="DT4" s="77" t="s">
        <v>5</v>
      </c>
      <c r="DU4" s="77" t="s">
        <v>5</v>
      </c>
      <c r="DV4" s="77" t="s">
        <v>5</v>
      </c>
      <c r="DW4" s="77" t="s">
        <v>5</v>
      </c>
      <c r="DX4" s="77" t="s">
        <v>5</v>
      </c>
      <c r="DY4" s="77" t="s">
        <v>5</v>
      </c>
      <c r="DZ4" s="77" t="s">
        <v>5</v>
      </c>
      <c r="EA4" s="77" t="s">
        <v>5</v>
      </c>
      <c r="EB4" s="77" t="s">
        <v>5</v>
      </c>
      <c r="EC4" s="77" t="s">
        <v>5</v>
      </c>
      <c r="ED4" s="77" t="s">
        <v>5</v>
      </c>
      <c r="EE4" s="77" t="s">
        <v>5</v>
      </c>
      <c r="EF4" s="77" t="s">
        <v>5</v>
      </c>
      <c r="EG4" s="77" t="s">
        <v>5</v>
      </c>
      <c r="EH4" s="77" t="s">
        <v>5</v>
      </c>
      <c r="EI4" s="137" t="s">
        <v>5</v>
      </c>
      <c r="EJ4" s="77" t="s">
        <v>3</v>
      </c>
      <c r="EK4" s="77" t="s">
        <v>3</v>
      </c>
      <c r="EL4" s="77" t="s">
        <v>3</v>
      </c>
      <c r="EM4" s="77" t="s">
        <v>3</v>
      </c>
      <c r="EN4" s="77" t="s">
        <v>3</v>
      </c>
      <c r="EO4" s="137" t="s">
        <v>3</v>
      </c>
      <c r="EP4" s="75"/>
      <c r="EQ4" s="78" t="s">
        <v>3</v>
      </c>
      <c r="ER4" s="78" t="s">
        <v>3</v>
      </c>
      <c r="ES4" s="78" t="s">
        <v>3</v>
      </c>
      <c r="ET4" s="78" t="s">
        <v>3</v>
      </c>
      <c r="EU4" s="78" t="s">
        <v>3</v>
      </c>
      <c r="EV4" s="78" t="s">
        <v>3</v>
      </c>
      <c r="EW4" s="78" t="s">
        <v>3</v>
      </c>
      <c r="EX4" s="78" t="s">
        <v>3</v>
      </c>
      <c r="EY4" s="137" t="s">
        <v>3</v>
      </c>
      <c r="EZ4" s="78" t="s">
        <v>1</v>
      </c>
      <c r="FA4" s="75"/>
      <c r="FB4" s="75"/>
      <c r="FC4" s="75"/>
      <c r="FD4" s="79"/>
      <c r="FE4" s="75"/>
      <c r="FF4" s="80" t="s">
        <v>3</v>
      </c>
      <c r="FG4" s="80" t="s">
        <v>5</v>
      </c>
      <c r="FH4" s="80" t="s">
        <v>5</v>
      </c>
      <c r="FI4" s="137" t="s">
        <v>5</v>
      </c>
      <c r="FL4" s="156" t="s">
        <v>138</v>
      </c>
      <c r="FM4" s="157"/>
    </row>
    <row r="5" spans="1:169" ht="15.75" thickBot="1" x14ac:dyDescent="0.3">
      <c r="A5" s="304">
        <v>3</v>
      </c>
      <c r="B5" s="299" t="s">
        <v>111</v>
      </c>
      <c r="C5" s="300" t="s">
        <v>3</v>
      </c>
      <c r="D5" s="299"/>
      <c r="E5" s="301"/>
      <c r="F5" s="301"/>
      <c r="G5" s="301"/>
      <c r="H5" s="299"/>
      <c r="I5" s="299"/>
      <c r="J5" s="299"/>
      <c r="K5" s="301"/>
      <c r="L5" s="302"/>
      <c r="M5" s="301" t="s">
        <v>241</v>
      </c>
      <c r="N5" s="303"/>
      <c r="O5" s="302">
        <v>42985</v>
      </c>
      <c r="P5" s="277"/>
      <c r="R5" s="81" t="s">
        <v>17</v>
      </c>
      <c r="S5" s="82"/>
      <c r="U5" s="81" t="s">
        <v>137</v>
      </c>
      <c r="V5" s="82"/>
      <c r="Z5" s="133" t="s">
        <v>268</v>
      </c>
      <c r="AA5" s="133" t="s">
        <v>269</v>
      </c>
      <c r="AB5" s="133" t="s">
        <v>270</v>
      </c>
      <c r="AC5" s="133" t="s">
        <v>271</v>
      </c>
      <c r="AD5" s="133" t="s">
        <v>272</v>
      </c>
      <c r="AF5" s="156" t="s">
        <v>138</v>
      </c>
      <c r="AG5" s="290"/>
      <c r="AH5" s="156" t="s">
        <v>273</v>
      </c>
      <c r="AI5" s="83" t="s">
        <v>12</v>
      </c>
      <c r="AJ5" s="83" t="s">
        <v>61</v>
      </c>
      <c r="AK5" s="83" t="s">
        <v>62</v>
      </c>
      <c r="AL5" s="138" t="s">
        <v>40</v>
      </c>
      <c r="AM5" s="83" t="s">
        <v>12</v>
      </c>
      <c r="AN5" s="83" t="s">
        <v>109</v>
      </c>
      <c r="AO5" s="138" t="s">
        <v>40</v>
      </c>
      <c r="AP5" s="83" t="s">
        <v>114</v>
      </c>
      <c r="AQ5" s="83" t="s">
        <v>92</v>
      </c>
      <c r="AR5" s="83" t="s">
        <v>31</v>
      </c>
      <c r="AS5" s="83" t="s">
        <v>770</v>
      </c>
      <c r="AT5" s="83" t="s">
        <v>12</v>
      </c>
      <c r="AU5" s="83" t="s">
        <v>106</v>
      </c>
      <c r="AV5" s="138" t="s">
        <v>40</v>
      </c>
      <c r="AW5" s="83" t="s">
        <v>117</v>
      </c>
      <c r="AX5" s="83" t="s">
        <v>122</v>
      </c>
      <c r="AY5" s="83" t="s">
        <v>63</v>
      </c>
      <c r="AZ5" s="83" t="s">
        <v>99</v>
      </c>
      <c r="BA5" s="83" t="s">
        <v>120</v>
      </c>
      <c r="BB5" s="83" t="s">
        <v>12</v>
      </c>
      <c r="BC5" s="83" t="s">
        <v>109</v>
      </c>
      <c r="BD5" s="138" t="s">
        <v>40</v>
      </c>
      <c r="BE5" s="79"/>
      <c r="BF5" s="79"/>
      <c r="BG5" s="79"/>
      <c r="BH5" s="79"/>
      <c r="BI5" s="84" t="s">
        <v>119</v>
      </c>
      <c r="BJ5" s="84" t="s">
        <v>64</v>
      </c>
      <c r="BK5" s="84" t="s">
        <v>2</v>
      </c>
      <c r="BL5" s="84" t="s">
        <v>65</v>
      </c>
      <c r="BM5" s="84" t="s">
        <v>66</v>
      </c>
      <c r="BN5" s="84" t="s">
        <v>111</v>
      </c>
      <c r="BO5" s="84" t="s">
        <v>777</v>
      </c>
      <c r="BP5" s="84" t="s">
        <v>67</v>
      </c>
      <c r="BQ5" s="84" t="s">
        <v>115</v>
      </c>
      <c r="BR5" s="84" t="s">
        <v>774</v>
      </c>
      <c r="BS5" s="84" t="s">
        <v>6</v>
      </c>
      <c r="BT5" s="84" t="s">
        <v>68</v>
      </c>
      <c r="BU5" s="84" t="s">
        <v>38</v>
      </c>
      <c r="BV5" s="84" t="s">
        <v>286</v>
      </c>
      <c r="BW5" s="84" t="s">
        <v>9</v>
      </c>
      <c r="BX5" s="84" t="s">
        <v>69</v>
      </c>
      <c r="BY5" s="84" t="s">
        <v>104</v>
      </c>
      <c r="BZ5" s="84" t="s">
        <v>70</v>
      </c>
      <c r="CA5" s="84" t="s">
        <v>107</v>
      </c>
      <c r="CB5" s="84" t="s">
        <v>71</v>
      </c>
      <c r="CC5" s="84" t="s">
        <v>94</v>
      </c>
      <c r="CD5" s="84" t="s">
        <v>39</v>
      </c>
      <c r="CE5" s="138" t="s">
        <v>40</v>
      </c>
      <c r="CF5" s="84" t="s">
        <v>66</v>
      </c>
      <c r="CG5" s="84" t="s">
        <v>67</v>
      </c>
      <c r="CH5" s="84" t="s">
        <v>6</v>
      </c>
      <c r="CI5" s="84" t="s">
        <v>8</v>
      </c>
      <c r="CJ5" s="84" t="s">
        <v>128</v>
      </c>
      <c r="CK5" s="84" t="s">
        <v>72</v>
      </c>
      <c r="CL5" s="84" t="s">
        <v>9</v>
      </c>
      <c r="CM5" s="84" t="s">
        <v>73</v>
      </c>
      <c r="CN5" s="84" t="s">
        <v>39</v>
      </c>
      <c r="CO5" s="84" t="s">
        <v>74</v>
      </c>
      <c r="CP5" s="138" t="s">
        <v>40</v>
      </c>
      <c r="CQ5" s="84" t="s">
        <v>8</v>
      </c>
      <c r="CR5" s="138"/>
      <c r="CS5" s="79"/>
      <c r="CT5" s="79"/>
      <c r="CU5" s="79"/>
      <c r="CV5" s="79"/>
      <c r="CW5" s="85" t="s">
        <v>10</v>
      </c>
      <c r="CX5" s="85" t="s">
        <v>75</v>
      </c>
      <c r="CY5" s="85" t="s">
        <v>76</v>
      </c>
      <c r="CZ5" s="85" t="s">
        <v>10</v>
      </c>
      <c r="DA5" s="138" t="s">
        <v>40</v>
      </c>
      <c r="DB5" s="85" t="s">
        <v>10</v>
      </c>
      <c r="DC5" s="85" t="s">
        <v>14</v>
      </c>
      <c r="DD5" s="85" t="s">
        <v>77</v>
      </c>
      <c r="DE5" s="139" t="s">
        <v>40</v>
      </c>
      <c r="DF5" s="86" t="s">
        <v>78</v>
      </c>
      <c r="DG5" s="85" t="s">
        <v>79</v>
      </c>
      <c r="DH5" s="85" t="s">
        <v>101</v>
      </c>
      <c r="DI5" s="85" t="s">
        <v>113</v>
      </c>
      <c r="DJ5" s="85" t="s">
        <v>44</v>
      </c>
      <c r="DK5" s="85" t="s">
        <v>80</v>
      </c>
      <c r="DL5" s="85" t="s">
        <v>116</v>
      </c>
      <c r="DM5" s="85" t="s">
        <v>81</v>
      </c>
      <c r="DN5" s="85" t="s">
        <v>76</v>
      </c>
      <c r="DO5" s="85" t="s">
        <v>82</v>
      </c>
      <c r="DP5" s="85" t="s">
        <v>97</v>
      </c>
      <c r="DQ5" s="85" t="s">
        <v>108</v>
      </c>
      <c r="DR5" s="85" t="s">
        <v>105</v>
      </c>
      <c r="DS5" s="85" t="s">
        <v>279</v>
      </c>
      <c r="DT5" s="85" t="s">
        <v>95</v>
      </c>
      <c r="DU5" s="85" t="s">
        <v>83</v>
      </c>
      <c r="DV5" s="85" t="s">
        <v>121</v>
      </c>
      <c r="DW5" s="85" t="s">
        <v>123</v>
      </c>
      <c r="DX5" s="85" t="s">
        <v>102</v>
      </c>
      <c r="DY5" s="85" t="s">
        <v>10</v>
      </c>
      <c r="DZ5" s="85" t="s">
        <v>118</v>
      </c>
      <c r="EA5" s="85" t="s">
        <v>84</v>
      </c>
      <c r="EB5" s="85" t="s">
        <v>282</v>
      </c>
      <c r="EC5" s="85" t="s">
        <v>289</v>
      </c>
      <c r="ED5" s="85" t="s">
        <v>103</v>
      </c>
      <c r="EE5" s="85" t="s">
        <v>16</v>
      </c>
      <c r="EF5" s="85" t="s">
        <v>77</v>
      </c>
      <c r="EG5" s="87" t="s">
        <v>85</v>
      </c>
      <c r="EH5" s="85" t="s">
        <v>267</v>
      </c>
      <c r="EI5" s="139" t="s">
        <v>40</v>
      </c>
      <c r="EJ5" s="85" t="s">
        <v>10</v>
      </c>
      <c r="EK5" s="85" t="s">
        <v>108</v>
      </c>
      <c r="EL5" s="85" t="s">
        <v>44</v>
      </c>
      <c r="EM5" s="85" t="s">
        <v>771</v>
      </c>
      <c r="EN5" s="85" t="s">
        <v>16</v>
      </c>
      <c r="EO5" s="139" t="s">
        <v>40</v>
      </c>
      <c r="EP5" s="79"/>
      <c r="EQ5" s="88" t="s">
        <v>0</v>
      </c>
      <c r="ER5" s="88" t="s">
        <v>110</v>
      </c>
      <c r="ES5" s="88" t="s">
        <v>7</v>
      </c>
      <c r="ET5" s="88" t="s">
        <v>112</v>
      </c>
      <c r="EU5" s="88" t="s">
        <v>15</v>
      </c>
      <c r="EV5" s="88" t="s">
        <v>86</v>
      </c>
      <c r="EW5" s="88" t="s">
        <v>98</v>
      </c>
      <c r="EX5" s="88" t="s">
        <v>87</v>
      </c>
      <c r="EY5" s="138" t="s">
        <v>40</v>
      </c>
      <c r="EZ5" s="88" t="s">
        <v>0</v>
      </c>
      <c r="FA5" s="79"/>
      <c r="FB5" s="79"/>
      <c r="FC5" s="79"/>
      <c r="FD5" s="79"/>
      <c r="FE5" s="79"/>
      <c r="FF5" s="89" t="s">
        <v>4</v>
      </c>
      <c r="FG5" s="89" t="s">
        <v>4</v>
      </c>
      <c r="FH5" s="89" t="s">
        <v>91</v>
      </c>
      <c r="FI5" s="138" t="s">
        <v>40</v>
      </c>
      <c r="FL5" s="158"/>
      <c r="FM5" s="158"/>
    </row>
    <row r="6" spans="1:169" ht="15.75" thickBot="1" x14ac:dyDescent="0.3">
      <c r="A6" s="304">
        <v>4</v>
      </c>
      <c r="B6" s="299" t="s">
        <v>111</v>
      </c>
      <c r="C6" s="300" t="s">
        <v>3</v>
      </c>
      <c r="D6" s="299"/>
      <c r="E6" s="301"/>
      <c r="F6" s="301"/>
      <c r="G6" s="301"/>
      <c r="H6" s="299"/>
      <c r="I6" s="299"/>
      <c r="J6" s="299"/>
      <c r="K6" s="301"/>
      <c r="L6" s="302"/>
      <c r="M6" s="301" t="s">
        <v>241</v>
      </c>
      <c r="N6" s="303"/>
      <c r="O6" s="302">
        <v>42985</v>
      </c>
      <c r="P6" s="277"/>
      <c r="Q6" s="191">
        <f>SUM(Y9,Y10,Y11,Y19,Y20,Y31,Y32,Y39,Y40,Y42,Y43,Y44,Y45,Y41)</f>
        <v>38</v>
      </c>
      <c r="R6" s="90" t="s">
        <v>18</v>
      </c>
      <c r="S6" s="190" t="s">
        <v>767</v>
      </c>
      <c r="U6" s="90" t="s">
        <v>13</v>
      </c>
      <c r="V6" s="91"/>
      <c r="X6" s="92" t="s">
        <v>55</v>
      </c>
      <c r="Y6" s="93"/>
      <c r="Z6" s="134"/>
      <c r="AA6" s="134"/>
      <c r="AB6" s="134"/>
      <c r="AC6" s="134"/>
      <c r="AD6" s="134"/>
      <c r="AF6" s="158"/>
      <c r="AG6" s="291"/>
    </row>
    <row r="7" spans="1:169" ht="15.75" thickBot="1" x14ac:dyDescent="0.3">
      <c r="A7" s="304">
        <v>5</v>
      </c>
      <c r="B7" s="299" t="s">
        <v>111</v>
      </c>
      <c r="C7" s="300" t="s">
        <v>3</v>
      </c>
      <c r="D7" s="299"/>
      <c r="E7" s="301"/>
      <c r="F7" s="301"/>
      <c r="G7" s="301"/>
      <c r="H7" s="299"/>
      <c r="I7" s="299"/>
      <c r="J7" s="299"/>
      <c r="K7" s="301"/>
      <c r="L7" s="302"/>
      <c r="M7" s="301" t="s">
        <v>241</v>
      </c>
      <c r="N7" s="303"/>
      <c r="O7" s="302">
        <v>42985</v>
      </c>
      <c r="P7" s="259"/>
      <c r="R7" s="90" t="s">
        <v>93</v>
      </c>
      <c r="S7" s="82"/>
      <c r="U7" s="90" t="s">
        <v>11</v>
      </c>
      <c r="V7" s="91"/>
      <c r="X7" s="94"/>
      <c r="Y7" s="95"/>
      <c r="Z7" s="135">
        <f>SUM(AI7:AK7,AM7:AN7,AP7:AU7,AW7:BC7)</f>
        <v>19</v>
      </c>
      <c r="AA7" s="135">
        <f>SUM(BI7:CD7,CF7:CO7,CQ7)</f>
        <v>0</v>
      </c>
      <c r="AB7" s="135">
        <f>SUM(CW7:CZ7,DB7:DD7,DF7:EH7,EJ7:EK7,EL7:EN7)</f>
        <v>7</v>
      </c>
      <c r="AC7" s="135">
        <f>SUM(EQ7:EX7,EZ7)</f>
        <v>5</v>
      </c>
      <c r="AD7" s="135">
        <f>SUM(FF7:FH7)</f>
        <v>0</v>
      </c>
      <c r="AF7" s="159" t="s">
        <v>140</v>
      </c>
      <c r="AG7" s="160" t="s">
        <v>141</v>
      </c>
      <c r="AH7" s="114">
        <f>SUM(AI7:AK7,AM7:AN7,AP7:AU7,AW7:BC7,BI7:CD7,CF7:CO7,CQ7,CW7:CZ7,DB7:DD7,DF7:EH7,EK7,EL7:EN7,EQ7:EX7,EZ7,FF7:FH7)</f>
        <v>31</v>
      </c>
      <c r="AI7" s="191">
        <f>COUNTIFS($B:$B,"Pittsburgh",$C:$C,"ECDC",$M:$M,AG7)</f>
        <v>4</v>
      </c>
      <c r="AJ7" s="191">
        <f>COUNTIFS($B:$B,"LEETSDALE",$C:$C,"ECDC",$M:$M,AG7)</f>
        <v>0</v>
      </c>
      <c r="AK7" s="191">
        <f>COUNTIFS($B:$B,"SEWICKLEY",$C:$C,"ECDC",$M:$M,AG7)</f>
        <v>0</v>
      </c>
      <c r="AL7" s="136">
        <f>SUM(AI7:AK7)</f>
        <v>4</v>
      </c>
      <c r="AM7" s="191">
        <f>COUNTIFS($B:$B,"Pittsburgh",$C:$C,"HIAS",$M:$M,AG7)</f>
        <v>9</v>
      </c>
      <c r="AN7" s="191">
        <f>COUNTIFS($B:$B,"CASTLE SHANNON",$C:$C,"HIAS",$M:$M,AG7)</f>
        <v>0</v>
      </c>
      <c r="AO7" s="191">
        <f>SUM(AM7:AN7)</f>
        <v>9</v>
      </c>
      <c r="AP7" s="191">
        <f>COUNTIFS($B:$B,"CANONSBURG",$C:$C,"USCCB",$M:$M,AG7)</f>
        <v>0</v>
      </c>
      <c r="AQ7" s="191">
        <f>COUNTIFS($B:$B,"HANOVER TOWNSHIP",$C:$C,"USCCB",$M:$M,AG7)</f>
        <v>0</v>
      </c>
      <c r="AR7" s="191">
        <f>COUNTIFS($B:$B,"INDIANA",$C:$C,"USCCB",$M:$M,AG7)</f>
        <v>0</v>
      </c>
      <c r="AS7" s="259">
        <f>COUNTIFS($B:$B,"DUBOIS",$C:$C,"USCCB",$M:$M,AG7)</f>
        <v>0</v>
      </c>
      <c r="AT7" s="191">
        <f>COUNTIFS($B:$B,"Pittsburgh",$C:$C,"USCCB",$M:$M,AG7)</f>
        <v>0</v>
      </c>
      <c r="AU7" s="191">
        <f>COUNTIFS($B:$B,"SHARPSBURG",$C:$C,"USCCB",$M:$M,AG7)</f>
        <v>0</v>
      </c>
      <c r="AV7" s="191">
        <f>SUM(AP7:AU7)</f>
        <v>0</v>
      </c>
      <c r="AW7" s="191">
        <f>COUNTIFS($B:$B,"BELLEVUE",$C:$C,"USCRI",$M:$M,AG7)</f>
        <v>0</v>
      </c>
      <c r="AX7" s="191">
        <f>COUNTIFS($B:$B,"BRENTWOOD",$C:$C,"USCRI",$M:$M,AG7)</f>
        <v>0</v>
      </c>
      <c r="AY7" s="191">
        <f>COUNTIFS($B:$B,"CLAIRTON",$C:$C,"USCRI",$M:$M,AG7)</f>
        <v>0</v>
      </c>
      <c r="AZ7" s="191">
        <f>COUNTIFS($B:$B,"EAST MILLSBORO",$C:$C,"USCRI",$M:$M,AG7)</f>
        <v>0</v>
      </c>
      <c r="BA7" s="191">
        <f>COUNTIFS($B:$B,"ETNA",$C:$C,"USCRI",$M:$M,AG7)</f>
        <v>0</v>
      </c>
      <c r="BB7" s="191">
        <f>COUNTIFS($B:$B,"Pittsburgh",$C:$C,"USCRI",$M:$M,AG7)</f>
        <v>6</v>
      </c>
      <c r="BC7">
        <f>COUNTIFS($B:$B,"CASTLE SHANNON",$C:$C,"USCRI",$M:$M,AG7)</f>
        <v>0</v>
      </c>
      <c r="BD7" s="191">
        <f>SUM(AW7:BC7)</f>
        <v>6</v>
      </c>
      <c r="BI7" s="191">
        <f t="shared" ref="BI7:BI8" si="0">COUNTIFS($B:$B,"BOALSBURG",$C:$C,"USCCB",$M:$M,AG7)</f>
        <v>0</v>
      </c>
      <c r="BJ7" s="191">
        <f t="shared" ref="BJ7:BJ8" si="1">COUNTIFS($B:$B,"CAMP HILL",$C:$C,"USCCB",$M:$M,AG7)</f>
        <v>0</v>
      </c>
      <c r="BK7" s="191">
        <f t="shared" ref="BK7:BK8" si="2">COUNTIFS($B:$B,"CARLISLE",$C:$C,"USCCB",$M:$M,AG7)</f>
        <v>0</v>
      </c>
      <c r="BL7" s="191">
        <f t="shared" ref="BL7:BL8" si="3">COUNTIFS($B:$B,"CHAMBERSBURG",$C:$C,"USCCB",$M:$M,AG7)</f>
        <v>0</v>
      </c>
      <c r="BM7" s="191">
        <f t="shared" ref="BM7:BM8" si="4">COUNTIFS($B:$B,"ELIZABETHTOWN",$C:$C,"USCCB",$M:$M,AG7)</f>
        <v>0</v>
      </c>
      <c r="BN7" s="191">
        <f>COUNTIFS($B:$B,"ENOLA",$C:$C,"USCCB",$M:$M,AG7)</f>
        <v>0</v>
      </c>
      <c r="BO7" s="259">
        <f>COUNTIFS($B:$B,"ETTERS",$C:$C,"USCCB",$M:$M,AG7)</f>
        <v>0</v>
      </c>
      <c r="BP7" s="191">
        <f t="shared" ref="BP7:BP8" si="5">COUNTIFS($B:$B,"GETTYSBURG",$C:$C,"USCCB",$M:$M,AG7)</f>
        <v>0</v>
      </c>
      <c r="BQ7" s="191">
        <f>COUNTIFS($B:$B,"GREENCASTLE",$C:$C,"USCCB",$M:$M,AG7)</f>
        <v>0</v>
      </c>
      <c r="BR7" s="259">
        <f>COUNTIFS($B:$B,"HAMPDEN TOWNSHIP",$C:$C,"USCCB",$M:$M,AG7)</f>
        <v>0</v>
      </c>
      <c r="BS7" s="191">
        <f t="shared" ref="BS7:BS8" si="6">COUNTIFS($B:$B,"HARRISBURG",$C:$C,"USCCB",$M:$M,AG7)</f>
        <v>0</v>
      </c>
      <c r="BT7" s="191">
        <f t="shared" ref="BT7:BT8" si="7">COUNTIFS($B:$B,"HUMMELSTOWN",$C:$C,"USCCB",$M:$M,AG7)</f>
        <v>0</v>
      </c>
      <c r="BU7" s="191">
        <f t="shared" ref="BU7:BU8" si="8">COUNTIFS($B:$B,"LEBANON",$C:$C,"USCCB",$M:$M,AG7)</f>
        <v>0</v>
      </c>
      <c r="BV7" s="191">
        <f t="shared" ref="BV7:BV8" si="9">COUNTIFS($B:$B,"MCSHERRYSTOWN",$C:$C,"USCCB",$M:$M,AG7)</f>
        <v>0</v>
      </c>
      <c r="BW7" s="191">
        <f t="shared" ref="BW7:BW8" si="10">COUNTIFS($B:$B,"MECHANICSBURG",$C:$C,"USCCB",$M:$M,AG7)</f>
        <v>0</v>
      </c>
      <c r="BX7" s="191">
        <f t="shared" ref="BX7:BX8" si="11">COUNTIFS($B:$B,"MIDDLETOWN",$C:$C,"USCCB",$M:$M,AG7)</f>
        <v>0</v>
      </c>
      <c r="BY7" s="191">
        <f t="shared" ref="BY7:BY8" si="12">COUNTIFS($B:$B,"NEW CUMBERLAND",$C:$C,"USCCB",$M:$M,AG7)</f>
        <v>0</v>
      </c>
      <c r="BZ7" s="191">
        <f t="shared" ref="BZ7:BZ8" si="13">COUNTIFS($B:$B,"PALMYRA",$C:$C,"USCCB",$M:$M,AG7)</f>
        <v>0</v>
      </c>
      <c r="CA7" s="191">
        <f t="shared" ref="CA7:CA8" si="14">COUNTIFS($B:$B,"SHIREMANSTOWN",$C:$C,"USCCB",$M:$M,AG7)</f>
        <v>0</v>
      </c>
      <c r="CB7" s="191">
        <f t="shared" ref="CB7:CB8" si="15">COUNTIFS($B:$B,"STATE COLLEGE",$C:$C,"USCCB",$M:$M,AG7)</f>
        <v>0</v>
      </c>
      <c r="CC7" s="191">
        <f t="shared" ref="CC7:CC8" si="16">COUNTIFS($B:$B,"WINFIELD",$C:$C,"USCCB",$M:$M,AG7)</f>
        <v>0</v>
      </c>
      <c r="CD7" s="191">
        <f t="shared" ref="CD7:CD8" si="17">COUNTIFS($B:$B,"YORK",$C:$C,"USCCB",$M:$M,AG7)</f>
        <v>0</v>
      </c>
      <c r="CE7" s="191">
        <f>SUM(BI7:CD7)</f>
        <v>0</v>
      </c>
      <c r="CF7" s="191">
        <f t="shared" ref="CF7:CF8" si="18">COUNTIFS($B:$B,"ELIZABETHTOWN",$C:$C,"CWS ",$M:$M,AG7)</f>
        <v>0</v>
      </c>
      <c r="CG7" s="191">
        <f t="shared" ref="CG7:CG8" si="19">COUNTIFS($B:$B,"GETTYSBURG",$C:$C,"CWS ",$M:$M,AG7)</f>
        <v>0</v>
      </c>
      <c r="CH7" s="191">
        <f t="shared" ref="CH7:CH8" si="20">COUNTIFS($B:$B,"HARRISBURG",$C:$C,"CWS ",$M:$M,AG7)</f>
        <v>0</v>
      </c>
      <c r="CI7" s="191">
        <f t="shared" ref="CI7:CI8" si="21">COUNTIFS($B:$B,"LANCASTER",$C:$C,"CWS ",$M:$M,AG7)</f>
        <v>0</v>
      </c>
      <c r="CJ7" s="191">
        <f t="shared" ref="CJ7:CJ8" si="22">COUNTIFS($B:$B,"LEOLA",$C:$C,"CWS ",$M:$M,AG7)</f>
        <v>0</v>
      </c>
      <c r="CK7" s="191">
        <f t="shared" ref="CK7:CK8" si="23">COUNTIFS($B:$B,"LITITZ",$C:$C,"CWS ",$M:$M,AG7)</f>
        <v>0</v>
      </c>
      <c r="CL7" s="191">
        <f t="shared" ref="CL7:CL8" si="24">COUNTIFS($B:$B,"MECHANICSBURG",$C:$C,"CWS ",$M:$M,AG7)</f>
        <v>0</v>
      </c>
      <c r="CM7" s="191">
        <f t="shared" ref="CM7:CM8" si="25">COUNTIFS($B:$B,"MOUNT JOY",$C:$C,"CWS ",$M:$M,AG7)</f>
        <v>0</v>
      </c>
      <c r="CN7" s="191">
        <f t="shared" ref="CN7:CN8" si="26">COUNTIFS($B:$B,"YORK",$C:$C,"CWS ",$M:$M,AG7)</f>
        <v>0</v>
      </c>
      <c r="CO7" s="191">
        <f t="shared" ref="CO7:CO8" si="27">COUNTIFS($B:$B,"EPHRATA",$C:$C,"CWS ",$M:$M,AG7)</f>
        <v>0</v>
      </c>
      <c r="CP7" s="191">
        <f>SUM(CF7,CG7,CH7,CJ7,CK7,CL7,CM7,CN7,CO7)</f>
        <v>0</v>
      </c>
      <c r="CQ7" s="191">
        <f t="shared" ref="CQ7:CQ8" si="28">COUNTIFS($B:$B,"LANCASTER",$C:$C,"LIRS",$M:$M,AG7)</f>
        <v>0</v>
      </c>
      <c r="CW7" s="191">
        <f t="shared" ref="CW7:CW8" si="29">COUNTIFS($B:$B,"PHILADELPHIA",$C:$C,"HIAS",$M:$M,AG7)</f>
        <v>0</v>
      </c>
      <c r="CX7" s="191">
        <f t="shared" ref="CX7:CX8" si="30">COUNTIFS($B:$B,"BIRDSBORO",$C:$C,"CWS ",$M:$M,AG7)</f>
        <v>0</v>
      </c>
      <c r="CY7" s="191">
        <f t="shared" ref="CY7:CY8" si="31">COUNTIFS($B:$B,"CONSHOHOCKEN",$C:$C,"CWS ",$M:$M,AG7)</f>
        <v>0</v>
      </c>
      <c r="CZ7" s="191">
        <f t="shared" ref="CZ7:CZ8" si="32">COUNTIFS($B:$B,"PHILADELPHIA",$C:$C,"CWS ",$M:$M,AG7)</f>
        <v>0</v>
      </c>
      <c r="DA7" s="191">
        <f>SUM(CX7:CZ7)</f>
        <v>0</v>
      </c>
      <c r="DB7" s="191">
        <f t="shared" ref="DB7:DB8" si="33">COUNTIFS($B:$B,"PHILADELPHIA",$C:$C,"LIRS",$M:$M,AG7)</f>
        <v>0</v>
      </c>
      <c r="DC7" s="191">
        <f t="shared" ref="DC7:DC8" si="34">COUNTIFS($B:$B,"ROSLYN",$C:$C,"LIRS",$M:$M,AG7)</f>
        <v>0</v>
      </c>
      <c r="DD7" s="191">
        <f t="shared" ref="DD7:DD8" si="35">COUNTIFS($B:$B,"WEST CHESTER",$C:$C,"LIRS",$M:$M,AG7)</f>
        <v>0</v>
      </c>
      <c r="DE7" s="191">
        <f>SUM(DB7:DD7)</f>
        <v>0</v>
      </c>
      <c r="DF7" s="191">
        <f t="shared" ref="DF7:DF8" si="36">COUNTIFS($B:$B,"AVONDALE",$C:$C,"USCRI",$M:$M,AG7)</f>
        <v>0</v>
      </c>
      <c r="DG7" s="191">
        <f t="shared" ref="DG7:DG8" si="37">COUNTIFS($B:$B,"BENSALEM",$C:$C,"USCRI",$M:$M,AG7)</f>
        <v>1</v>
      </c>
      <c r="DH7" s="191">
        <f t="shared" ref="DH7:DH8" si="38">COUNTIFS($B:$B,"BOOTHWYN",$C:$C,"USCRI",$M:$M,AG7)</f>
        <v>0</v>
      </c>
      <c r="DI7" s="191">
        <f t="shared" ref="DI7:DI8" si="39">COUNTIFS($B:$B,"BROOMALL",$C:$C,"USCRI",$M:$M,AG7)</f>
        <v>0</v>
      </c>
      <c r="DJ7" s="191">
        <f t="shared" ref="DJ7:DJ8" si="40">COUNTIFS($B:$B,"CHESTER",$C:$C,"USCRI",$M:$M,AG7)</f>
        <v>0</v>
      </c>
      <c r="DK7" s="191">
        <f t="shared" ref="DK7:DK8" si="41">COUNTIFS($B:$B,"CLIFTON HEIGHTS",$C:$C,"USCRI",$M:$M,AG7)</f>
        <v>0</v>
      </c>
      <c r="DL7" s="191">
        <f t="shared" ref="DL7:DL8" si="42">COUNTIFS($B:$B,"COLLEGEVILLE",$C:$C,"USCRI",$M:$M,AG7)</f>
        <v>0</v>
      </c>
      <c r="DM7" s="191">
        <f t="shared" ref="DM7:DM8" si="43">COUNTIFS($B:$B,"COLLINGDALE",$C:$C,"USCRI",$M:$M,AG7)</f>
        <v>0</v>
      </c>
      <c r="DN7" s="191">
        <f t="shared" ref="DN7:DN8" si="44">COUNTIFS($B:$B,"CONSHOHOCKEN",$C:$C,"USCRI",$M:$M,AG7)</f>
        <v>0</v>
      </c>
      <c r="DO7" s="191">
        <f t="shared" ref="DO7:DO8" si="45">COUNTIFS($B:$B,"DARBY",$C:$C,"USCRI",$M:$M,AG7)</f>
        <v>0</v>
      </c>
      <c r="DP7" s="191">
        <f>COUNTIFS($B:$B,"DOWNINGTOWN",$C:$C,"USCRI",$M:$M,AG7)</f>
        <v>0</v>
      </c>
      <c r="DQ7" s="259">
        <f>COUNTIFS($B:$B,"ELKINS PARK",$C:$C,"USCRI",$M:$M,AG7)</f>
        <v>0</v>
      </c>
      <c r="DR7" s="191">
        <f t="shared" ref="DR7:DR8" si="46">COUNTIFS($B:$B,"FEASTERVILLE",$C:$C,"USCRI",$M:$M,AG7)</f>
        <v>0</v>
      </c>
      <c r="DS7" s="191">
        <f t="shared" ref="DS7:DS8" si="47">COUNTIFS($B:$B,"HORSHAM",$C:$C,"USCRI",$M:$M,AG7)</f>
        <v>0</v>
      </c>
      <c r="DT7" s="191">
        <f t="shared" ref="DT7:DT8" si="48">COUNTIFS($B:$B,"LANGHORNE",$C:$C,"USCRI",$M:$M,AG7)</f>
        <v>0</v>
      </c>
      <c r="DU7" s="191">
        <f t="shared" ref="DU7:DU8" si="49">COUNTIFS($B:$B,"LEVITTOWN",$C:$C,"USCRI",$M:$M,AG7)</f>
        <v>0</v>
      </c>
      <c r="DV7" s="191">
        <f t="shared" ref="DV7:DV8" si="50">COUNTIFS($B:$B,"MEDIA",$C:$C,"USCRI",$M:$M,AG7)</f>
        <v>0</v>
      </c>
      <c r="DW7" s="191">
        <f t="shared" ref="DW7:DW8" si="51">COUNTIFS($B:$B,"NORRISTOWN",$C:$C,"USCRI",$M:$M,AG7)</f>
        <v>0</v>
      </c>
      <c r="DX7" s="191">
        <f t="shared" ref="DX7:DX8" si="52">COUNTIFS($B:$B,"NORWOOD",$C:$C,"USCRI",$M:$M,AG7)</f>
        <v>0</v>
      </c>
      <c r="DY7" s="191">
        <f t="shared" ref="DY7:DY8" si="53">COUNTIFS($B:$B,"PHILADELPHIA",$C:$C,"USCRI",$M:$M,AG7)</f>
        <v>6</v>
      </c>
      <c r="DZ7" s="191">
        <f t="shared" ref="DZ7:DZ8" si="54">COUNTIFS($B:$B,"SWARTHMORE",$C:$C,"USCRI",$M:$M,AG7)</f>
        <v>0</v>
      </c>
      <c r="EA7" s="191">
        <f t="shared" ref="EA7:EA8" si="55">COUNTIFS($B:$B,"TREVOSE",$C:$C,"USCRI",$M:$M,AG7)</f>
        <v>0</v>
      </c>
      <c r="EB7" s="191">
        <f t="shared" ref="EB7:EB8" si="56">COUNTIFS($B:$B,"FEASTERVILLE TREVOSE",$C:$C,"USCRI",$M:$M,AG7)</f>
        <v>0</v>
      </c>
      <c r="EC7">
        <f>COUNTIFS($B:$B,"HUNTINGTON VALLEY",$C:$C,"USCRI",$M:$M,AG7)</f>
        <v>0</v>
      </c>
      <c r="ED7" s="191">
        <f t="shared" ref="ED7:ED8" si="57">COUNTIFS($B:$B,"UPPER CHICHESTER",$C:$C,"USCRI",$M:$M,AG7)</f>
        <v>0</v>
      </c>
      <c r="EE7" s="191">
        <f t="shared" ref="EE7:EE8" si="58">COUNTIFS($B:$B,"WARMINSTER",$C:$C,"USCRI",$M:$M,AG7)</f>
        <v>0</v>
      </c>
      <c r="EF7" s="191">
        <f t="shared" ref="EF7:EF8" si="59">COUNTIFS($B:$B,"WEST CHESTER",$C:$C,"USCRI",$M:$M,AG7)</f>
        <v>0</v>
      </c>
      <c r="EG7" s="191">
        <f t="shared" ref="EG7:EG8" si="60">COUNTIFS($B:$B,"WILLOW GROVE",$C:$C,"USCRI",$M:$M,AG7)</f>
        <v>0</v>
      </c>
      <c r="EH7" s="191">
        <f t="shared" ref="EH7:EH8" si="61">COUNTIFS($B:$B,"SOUTHAMPTON",$C:$C,"USCRI",$M:$M,AG7)</f>
        <v>0</v>
      </c>
      <c r="EI7" s="191">
        <f t="shared" ref="EI7:EI8" si="62">SUM(DF7:EH7)</f>
        <v>7</v>
      </c>
      <c r="EJ7" s="259">
        <f>COUNTIFS($B:$B,"PHILADELPHIA",$C:$C,"USCCB",$M:$M,AG7)</f>
        <v>0</v>
      </c>
      <c r="EK7" s="191">
        <f>COUNTIFS($B:$B,"ELKINS PARK",$C:$C,"USCCB",$M:$M,AG7)</f>
        <v>0</v>
      </c>
      <c r="EL7" s="191">
        <f>COUNTIFS($B:$B,"CHESTER",$C:$C,"USCCB",$M:$M,AG7)</f>
        <v>0</v>
      </c>
      <c r="EM7" s="259">
        <f>COUNTIFS($B:$B,"GLENOLDEN",$C:$C,"USCCB",$M:$M,AG7)</f>
        <v>0</v>
      </c>
      <c r="EN7" s="259">
        <f t="shared" ref="EN7:EN8" si="63">COUNTIFS($B:$B,"WARMINSTER",$C:$C,"USCCB",$M:$M,AG7)</f>
        <v>0</v>
      </c>
      <c r="EO7" s="191">
        <f>SUM(EK7:EN7)</f>
        <v>0</v>
      </c>
      <c r="EQ7" s="191">
        <f t="shared" ref="EQ7:EQ8" si="64">COUNTIFS($B:$B,"ALLENTOWN",$C:$C,"USCCB",$M:$M,AG7)</f>
        <v>0</v>
      </c>
      <c r="ER7" s="191">
        <f t="shared" ref="ER7:ER8" si="65">COUNTIFS($B:$B,"EASTON",$C:$C,"USCCB",$M:$M,AG7)</f>
        <v>0</v>
      </c>
      <c r="ES7" s="191">
        <f t="shared" ref="ES7:ES8" si="66">COUNTIFS($B:$B,"KINGSTON",$C:$C,"USCCB",$M:$M,AG7)</f>
        <v>0</v>
      </c>
      <c r="ET7" s="191">
        <f t="shared" ref="ET7:ET8" si="67">COUNTIFS($B:$B,"NORTHAMPTON",$C:$C,"USCCB",$M:$M,AG7)</f>
        <v>0</v>
      </c>
      <c r="EU7" s="191">
        <f t="shared" ref="EU7:EU8" si="68">COUNTIFS($B:$B,"SCRANTON",$C:$C,"USCCB",$M:$M,AG7)</f>
        <v>0</v>
      </c>
      <c r="EV7" s="191">
        <f t="shared" ref="EV7:EV8" si="69">COUNTIFS($B:$B,"TAYLOR",$C:$C,"USCCB",$M:$M,AG7)</f>
        <v>0</v>
      </c>
      <c r="EW7" s="191">
        <f t="shared" ref="EW7:EW8" si="70">COUNTIFS($B:$B,"WILKES-BARRE",$C:$C,"USCCB",$M:$M,AG7)</f>
        <v>0</v>
      </c>
      <c r="EX7" s="191">
        <f t="shared" ref="EX7:EX8" si="71">COUNTIFS($B:$B,"WILLIAMSPORT",$C:$C,"USCCB",$M:$M,AG7)</f>
        <v>0</v>
      </c>
      <c r="EY7" s="191">
        <f>SUM(EQ7,ER7,ES7,ET7,EV7,EW7,EX7)</f>
        <v>0</v>
      </c>
      <c r="EZ7" s="191">
        <f t="shared" ref="EZ7:EZ8" si="72">COUNTIFS($B:$B,"ALLENTOWN",$C:$C,"LIRS",$M:$M,AG7)</f>
        <v>5</v>
      </c>
      <c r="FF7" s="191">
        <f t="shared" ref="FF7:FF8" si="73">COUNTIFS($B:$B,"ERIE",$C:$C,"USCCB",$M:$M,AG7)</f>
        <v>0</v>
      </c>
      <c r="FG7" s="191">
        <f t="shared" ref="FG7:FG8" si="74">COUNTIFS($B:$B,"ERIE",$C:$C,"USCRI",$M:$M,AG7)</f>
        <v>0</v>
      </c>
      <c r="FH7" s="191">
        <f t="shared" ref="FH7:FH8" si="75">COUNTIFS($B:$B,"GIRARD",$C:$C,"USCRI",$M:$M,AG7)</f>
        <v>0</v>
      </c>
      <c r="FI7" s="191">
        <f>SUM(FG7:FH7)</f>
        <v>0</v>
      </c>
      <c r="FL7" s="159" t="s">
        <v>140</v>
      </c>
      <c r="FM7" s="160" t="s">
        <v>141</v>
      </c>
    </row>
    <row r="8" spans="1:169" ht="15.75" thickBot="1" x14ac:dyDescent="0.3">
      <c r="A8" s="304">
        <v>6</v>
      </c>
      <c r="B8" s="299" t="s">
        <v>111</v>
      </c>
      <c r="C8" s="300" t="s">
        <v>3</v>
      </c>
      <c r="D8" s="299"/>
      <c r="E8" s="301"/>
      <c r="F8" s="301"/>
      <c r="G8" s="301"/>
      <c r="H8" s="299"/>
      <c r="I8" s="299"/>
      <c r="J8" s="299"/>
      <c r="K8" s="301"/>
      <c r="L8" s="302"/>
      <c r="M8" s="301" t="s">
        <v>241</v>
      </c>
      <c r="N8" s="303"/>
      <c r="O8" s="302">
        <v>42985</v>
      </c>
      <c r="P8" s="259"/>
      <c r="Q8" s="191">
        <f>SUM(Y30,Y33)</f>
        <v>0</v>
      </c>
      <c r="R8" s="90" t="s">
        <v>31</v>
      </c>
      <c r="S8" s="190" t="s">
        <v>772</v>
      </c>
      <c r="U8" s="90" t="s">
        <v>3</v>
      </c>
      <c r="V8" s="91"/>
      <c r="X8" s="74" t="s">
        <v>13</v>
      </c>
      <c r="Y8" s="96"/>
      <c r="Z8" s="135">
        <f t="shared" ref="Z8" si="76">SUM(AI8:AK8,AM8:AN8,AP8:AU8,AW8:BC8)</f>
        <v>0</v>
      </c>
      <c r="AA8" s="135">
        <f t="shared" ref="AA8" si="77">SUM(BI8:CD8,CF8:CO8,CQ8)</f>
        <v>0</v>
      </c>
      <c r="AB8" s="135">
        <f t="shared" ref="AB8:AB63" si="78">SUM(CW8:CZ8,DB8:DD8,DF8:EH8,EJ8:EK8,EL8:EN8)</f>
        <v>0</v>
      </c>
      <c r="AC8" s="135">
        <f t="shared" ref="AC8" si="79">SUM(EQ8:EX8,EZ8)</f>
        <v>0</v>
      </c>
      <c r="AD8" s="135">
        <f t="shared" ref="AD8" si="80">SUM(FF8:FH8)</f>
        <v>0</v>
      </c>
      <c r="AF8" s="159" t="s">
        <v>142</v>
      </c>
      <c r="AG8" s="160" t="s">
        <v>143</v>
      </c>
      <c r="AH8" s="114">
        <f t="shared" ref="AH8" si="81">SUM(AI8:AK8,AM8:AN8,AP8:AU8,AW8:BC8,BI8:CD8,CF8:CO8,CQ8,CW8:CZ8,DB8:DD8,DF8:EH8,EK8,EL8:EN8,EQ8:EX8,EZ8,FF8:FH8)</f>
        <v>0</v>
      </c>
      <c r="AI8" s="191">
        <f>COUNTIFS($B:$B,"Pittsburgh",$C:$C,"ECDC",$M:$M,AG8)</f>
        <v>0</v>
      </c>
      <c r="AJ8" s="191">
        <f t="shared" ref="AJ8" si="82">COUNTIFS($B:$B,"LEETSDALE",$C:$C,"ECDC",$M:$M,AG8)</f>
        <v>0</v>
      </c>
      <c r="AK8" s="191">
        <f t="shared" ref="AK8" si="83">COUNTIFS($B:$B,"SEWICKLEY",$C:$C,"ECDC",$M:$M,AG8)</f>
        <v>0</v>
      </c>
      <c r="AL8" s="136">
        <f t="shared" ref="AL8" si="84">SUM(AI8:AK8)</f>
        <v>0</v>
      </c>
      <c r="AM8" s="191">
        <f t="shared" ref="AM8" si="85">COUNTIFS($B:$B,"Pittsburgh",$C:$C,"HIAS",$M:$M,AG8)</f>
        <v>0</v>
      </c>
      <c r="AN8" s="191">
        <f t="shared" ref="AN8" si="86">COUNTIFS($B:$B,"CASTLE SHANNON",$C:$C,"HIAS",$M:$M,AG8)</f>
        <v>0</v>
      </c>
      <c r="AO8" s="191">
        <f t="shared" ref="AO8" si="87">SUM(AM8:AN8)</f>
        <v>0</v>
      </c>
      <c r="AP8" s="191">
        <f t="shared" ref="AP8" si="88">COUNTIFS($B:$B,"CANONSBURG",$C:$C,"USCCB",$M:$M,AG8)</f>
        <v>0</v>
      </c>
      <c r="AQ8" s="191">
        <f t="shared" ref="AQ8" si="89">COUNTIFS($B:$B,"HANOVER TOWNSHIP",$C:$C,"USCCB",$M:$M,AG8)</f>
        <v>0</v>
      </c>
      <c r="AR8" s="191">
        <f t="shared" ref="AR8" si="90">COUNTIFS($B:$B,"INDIANA",$C:$C,"USCCB",$M:$M,AG8)</f>
        <v>0</v>
      </c>
      <c r="AS8" s="259">
        <f t="shared" ref="AS8" si="91">COUNTIFS($B:$B,"DUBOIS",$C:$C,"USCCB",$M:$M,AG8)</f>
        <v>0</v>
      </c>
      <c r="AT8" s="191">
        <f t="shared" ref="AT8" si="92">COUNTIFS($B:$B,"Pittsburgh",$C:$C,"USCCB",$M:$M,AG8)</f>
        <v>0</v>
      </c>
      <c r="AU8" s="191">
        <f t="shared" ref="AU8" si="93">COUNTIFS($B:$B,"SHARPSBURG",$C:$C,"USCCB",$M:$M,AG8)</f>
        <v>0</v>
      </c>
      <c r="AV8" s="191">
        <f t="shared" ref="AV8" si="94">SUM(AP8:AU8)</f>
        <v>0</v>
      </c>
      <c r="AW8" s="191">
        <f t="shared" ref="AW8" si="95">COUNTIFS($B:$B,"BELLEVUE",$C:$C,"USCRI",$M:$M,AG8)</f>
        <v>0</v>
      </c>
      <c r="AX8" s="191">
        <f t="shared" ref="AX8" si="96">COUNTIFS($B:$B,"BRENTWOOD",$C:$C,"USCRI",$M:$M,AG8)</f>
        <v>0</v>
      </c>
      <c r="AY8" s="191">
        <f t="shared" ref="AY8" si="97">COUNTIFS($B:$B,"CLAIRTON",$C:$C,"USCRI",$M:$M,AG8)</f>
        <v>0</v>
      </c>
      <c r="AZ8" s="191">
        <f t="shared" ref="AZ8" si="98">COUNTIFS($B:$B,"EAST MILLSBORO",$C:$C,"USCRI",$M:$M,AG8)</f>
        <v>0</v>
      </c>
      <c r="BA8" s="191">
        <f t="shared" ref="BA8" si="99">COUNTIFS($B:$B,"ETNA",$C:$C,"USCRI",$M:$M,AG8)</f>
        <v>0</v>
      </c>
      <c r="BB8" s="191">
        <f t="shared" ref="BB8" si="100">COUNTIFS($B:$B,"Pittsburgh",$C:$C,"USCRI",$M:$M,AG8)</f>
        <v>0</v>
      </c>
      <c r="BC8" s="263">
        <f t="shared" ref="BC8" si="101">COUNTIFS($B:$B,"CASTLE SHANNON",$C:$C,"USCRI",$M:$M,AG8)</f>
        <v>0</v>
      </c>
      <c r="BD8" s="259">
        <f t="shared" ref="BD8" si="102">SUM(AW8:BC8)</f>
        <v>0</v>
      </c>
      <c r="BI8" s="191">
        <f t="shared" si="0"/>
        <v>0</v>
      </c>
      <c r="BJ8" s="191">
        <f t="shared" si="1"/>
        <v>0</v>
      </c>
      <c r="BK8" s="191">
        <f t="shared" si="2"/>
        <v>0</v>
      </c>
      <c r="BL8" s="191">
        <f t="shared" si="3"/>
        <v>0</v>
      </c>
      <c r="BM8" s="191">
        <f t="shared" si="4"/>
        <v>0</v>
      </c>
      <c r="BN8" s="191">
        <f t="shared" ref="BN8" si="103">COUNTIFS($B:$B,"ENOLA",$C:$C,"USCCB",$M:$M,AG8)</f>
        <v>0</v>
      </c>
      <c r="BO8" s="259">
        <f t="shared" ref="BO8" si="104">COUNTIFS($B:$B,"ETTERS",$C:$C,"USCCB",$M:$M,AG8)</f>
        <v>0</v>
      </c>
      <c r="BP8" s="191">
        <f t="shared" si="5"/>
        <v>0</v>
      </c>
      <c r="BQ8" s="191">
        <f t="shared" ref="BQ8" si="105">COUNTIFS($B:$B,"GREENCASTLE",$C:$C,"USCCB",$M:$M,AG8)</f>
        <v>0</v>
      </c>
      <c r="BR8" s="259">
        <f t="shared" ref="BR8" si="106">COUNTIFS($B:$B,"HAMPDEN TOWNSHIP",$C:$C,"USCCB",$M:$M,AG8)</f>
        <v>0</v>
      </c>
      <c r="BS8" s="191">
        <f t="shared" si="6"/>
        <v>0</v>
      </c>
      <c r="BT8" s="191">
        <f t="shared" si="7"/>
        <v>0</v>
      </c>
      <c r="BU8" s="191">
        <f t="shared" si="8"/>
        <v>0</v>
      </c>
      <c r="BV8" s="259">
        <f t="shared" si="9"/>
        <v>0</v>
      </c>
      <c r="BW8" s="191">
        <f t="shared" si="10"/>
        <v>0</v>
      </c>
      <c r="BX8" s="191">
        <f t="shared" si="11"/>
        <v>0</v>
      </c>
      <c r="BY8" s="191">
        <f t="shared" si="12"/>
        <v>0</v>
      </c>
      <c r="BZ8" s="191">
        <f t="shared" si="13"/>
        <v>0</v>
      </c>
      <c r="CA8" s="191">
        <f t="shared" si="14"/>
        <v>0</v>
      </c>
      <c r="CB8" s="191">
        <f t="shared" si="15"/>
        <v>0</v>
      </c>
      <c r="CC8" s="191">
        <f t="shared" si="16"/>
        <v>0</v>
      </c>
      <c r="CD8" s="191">
        <f t="shared" si="17"/>
        <v>0</v>
      </c>
      <c r="CE8" s="191">
        <f t="shared" ref="CE8" si="107">SUM(BI8:CD8)</f>
        <v>0</v>
      </c>
      <c r="CF8" s="191">
        <f t="shared" si="18"/>
        <v>0</v>
      </c>
      <c r="CG8" s="191">
        <f t="shared" si="19"/>
        <v>0</v>
      </c>
      <c r="CH8" s="191">
        <f t="shared" si="20"/>
        <v>0</v>
      </c>
      <c r="CI8" s="191">
        <f t="shared" si="21"/>
        <v>0</v>
      </c>
      <c r="CJ8" s="191">
        <f t="shared" si="22"/>
        <v>0</v>
      </c>
      <c r="CK8" s="191">
        <f t="shared" si="23"/>
        <v>0</v>
      </c>
      <c r="CL8" s="191">
        <f t="shared" si="24"/>
        <v>0</v>
      </c>
      <c r="CM8" s="191">
        <f t="shared" si="25"/>
        <v>0</v>
      </c>
      <c r="CN8" s="191">
        <f t="shared" si="26"/>
        <v>0</v>
      </c>
      <c r="CO8" s="191">
        <f t="shared" si="27"/>
        <v>0</v>
      </c>
      <c r="CP8" s="191">
        <f t="shared" ref="CP8" si="108">SUM(CF8,CG8,CH8,CJ8,CK8,CL8,CM8,CN8,CO8)</f>
        <v>0</v>
      </c>
      <c r="CQ8" s="191">
        <f t="shared" si="28"/>
        <v>0</v>
      </c>
      <c r="CW8" s="191">
        <f t="shared" si="29"/>
        <v>0</v>
      </c>
      <c r="CX8" s="191">
        <f t="shared" si="30"/>
        <v>0</v>
      </c>
      <c r="CY8" s="191">
        <f t="shared" si="31"/>
        <v>0</v>
      </c>
      <c r="CZ8" s="191">
        <f t="shared" si="32"/>
        <v>0</v>
      </c>
      <c r="DA8" s="191">
        <f t="shared" ref="DA8" si="109">SUM(CX8:CZ8)</f>
        <v>0</v>
      </c>
      <c r="DB8" s="191">
        <f t="shared" si="33"/>
        <v>0</v>
      </c>
      <c r="DC8" s="191">
        <f t="shared" si="34"/>
        <v>0</v>
      </c>
      <c r="DD8" s="191">
        <f t="shared" si="35"/>
        <v>0</v>
      </c>
      <c r="DE8" s="191">
        <f t="shared" ref="DE8" si="110">SUM(DB8:DD8)</f>
        <v>0</v>
      </c>
      <c r="DF8" s="191">
        <f t="shared" si="36"/>
        <v>0</v>
      </c>
      <c r="DG8" s="191">
        <f t="shared" si="37"/>
        <v>0</v>
      </c>
      <c r="DH8" s="191">
        <f t="shared" si="38"/>
        <v>0</v>
      </c>
      <c r="DI8" s="191">
        <f t="shared" si="39"/>
        <v>0</v>
      </c>
      <c r="DJ8" s="191">
        <f t="shared" si="40"/>
        <v>0</v>
      </c>
      <c r="DK8" s="191">
        <f t="shared" si="41"/>
        <v>0</v>
      </c>
      <c r="DL8" s="191">
        <f t="shared" si="42"/>
        <v>0</v>
      </c>
      <c r="DM8" s="191">
        <f t="shared" si="43"/>
        <v>0</v>
      </c>
      <c r="DN8" s="191">
        <f t="shared" si="44"/>
        <v>0</v>
      </c>
      <c r="DO8" s="191">
        <f t="shared" si="45"/>
        <v>0</v>
      </c>
      <c r="DP8" s="191">
        <f t="shared" ref="DP8" si="111">COUNTIFS($B:$B,"DOWNINGTOWN",$C:$C,"USCRI",$M:$M,AG8)</f>
        <v>0</v>
      </c>
      <c r="DQ8" s="259">
        <f t="shared" ref="DQ8" si="112">COUNTIFS($B:$B,"ELKINS PARK",$C:$C,"USCRI",$M:$M,AG8)</f>
        <v>0</v>
      </c>
      <c r="DR8" s="191">
        <f t="shared" si="46"/>
        <v>0</v>
      </c>
      <c r="DS8" s="191">
        <f t="shared" si="47"/>
        <v>0</v>
      </c>
      <c r="DT8" s="191">
        <f t="shared" si="48"/>
        <v>0</v>
      </c>
      <c r="DU8" s="191">
        <f t="shared" si="49"/>
        <v>0</v>
      </c>
      <c r="DV8" s="191">
        <f t="shared" si="50"/>
        <v>0</v>
      </c>
      <c r="DW8" s="191">
        <f t="shared" si="51"/>
        <v>0</v>
      </c>
      <c r="DX8" s="191">
        <f t="shared" si="52"/>
        <v>0</v>
      </c>
      <c r="DY8" s="259">
        <f t="shared" si="53"/>
        <v>0</v>
      </c>
      <c r="DZ8" s="191">
        <f t="shared" si="54"/>
        <v>0</v>
      </c>
      <c r="EA8" s="191">
        <f t="shared" si="55"/>
        <v>0</v>
      </c>
      <c r="EB8" s="191">
        <f t="shared" si="56"/>
        <v>0</v>
      </c>
      <c r="EC8" s="263">
        <f t="shared" ref="EC8" si="113">COUNTIFS($B:$B,"HUNTINGTON VALLEY",$C:$C,"USCRI",$M:$M,AG8)</f>
        <v>0</v>
      </c>
      <c r="ED8" s="191">
        <f t="shared" si="57"/>
        <v>0</v>
      </c>
      <c r="EE8" s="191">
        <f t="shared" si="58"/>
        <v>0</v>
      </c>
      <c r="EF8" s="191">
        <f t="shared" si="59"/>
        <v>0</v>
      </c>
      <c r="EG8" s="191">
        <f t="shared" si="60"/>
        <v>0</v>
      </c>
      <c r="EH8" s="191">
        <f t="shared" si="61"/>
        <v>0</v>
      </c>
      <c r="EI8" s="191">
        <f t="shared" si="62"/>
        <v>0</v>
      </c>
      <c r="EJ8" s="259">
        <f t="shared" ref="EJ8:EJ65" si="114">COUNTIFS($B:$B,"PHILADELPHIA",$C:$C,"USCCB",$M:$M,AG8)</f>
        <v>0</v>
      </c>
      <c r="EK8" s="191">
        <f t="shared" ref="EK7:EK8" si="115">COUNTIFS($B:$B,"ELKINS PARK",$C:$C,"USCCB",$M:$M,AG8)</f>
        <v>0</v>
      </c>
      <c r="EL8" s="191">
        <f t="shared" ref="EL8" si="116">COUNTIFS($B:$B,"CHESTER",$C:$C,"USCCB",$M:$M,AG8)</f>
        <v>0</v>
      </c>
      <c r="EM8" s="259">
        <f t="shared" ref="EM8" si="117">COUNTIFS($B:$B,"GLENOLDEN",$C:$C,"USCCB",$M:$M,AG8)</f>
        <v>0</v>
      </c>
      <c r="EN8" s="259">
        <f t="shared" si="63"/>
        <v>0</v>
      </c>
      <c r="EO8" s="259">
        <f t="shared" ref="EO8" si="118">SUM(EK8:EN8)</f>
        <v>0</v>
      </c>
      <c r="EQ8" s="191">
        <f t="shared" si="64"/>
        <v>0</v>
      </c>
      <c r="ER8" s="191">
        <f t="shared" si="65"/>
        <v>0</v>
      </c>
      <c r="ES8" s="191">
        <f t="shared" si="66"/>
        <v>0</v>
      </c>
      <c r="ET8" s="191">
        <f t="shared" si="67"/>
        <v>0</v>
      </c>
      <c r="EU8" s="191">
        <f t="shared" si="68"/>
        <v>0</v>
      </c>
      <c r="EV8" s="191">
        <f t="shared" si="69"/>
        <v>0</v>
      </c>
      <c r="EW8" s="191">
        <f t="shared" si="70"/>
        <v>0</v>
      </c>
      <c r="EX8" s="191">
        <f t="shared" si="71"/>
        <v>0</v>
      </c>
      <c r="EY8" s="191">
        <f t="shared" ref="EY8" si="119">SUM(EQ8,ER8,ES8,ET8,EV8,EW8,EX8)</f>
        <v>0</v>
      </c>
      <c r="EZ8" s="191">
        <f t="shared" si="72"/>
        <v>0</v>
      </c>
      <c r="FF8" s="191">
        <f t="shared" si="73"/>
        <v>0</v>
      </c>
      <c r="FG8" s="191">
        <f t="shared" si="74"/>
        <v>0</v>
      </c>
      <c r="FH8" s="191">
        <f t="shared" si="75"/>
        <v>0</v>
      </c>
      <c r="FI8" s="191">
        <f t="shared" ref="FI8" si="120">SUM(FG8:FH8)</f>
        <v>0</v>
      </c>
      <c r="FL8" s="159" t="s">
        <v>142</v>
      </c>
      <c r="FM8" s="160" t="s">
        <v>143</v>
      </c>
    </row>
    <row r="9" spans="1:169" ht="15.75" thickBot="1" x14ac:dyDescent="0.3">
      <c r="A9" s="304">
        <v>7</v>
      </c>
      <c r="B9" s="299" t="s">
        <v>111</v>
      </c>
      <c r="C9" s="300" t="s">
        <v>3</v>
      </c>
      <c r="D9" s="299"/>
      <c r="E9" s="301"/>
      <c r="F9" s="301"/>
      <c r="G9" s="301"/>
      <c r="H9" s="299"/>
      <c r="I9" s="299"/>
      <c r="J9" s="299"/>
      <c r="K9" s="301"/>
      <c r="L9" s="302"/>
      <c r="M9" s="301" t="s">
        <v>241</v>
      </c>
      <c r="N9" s="303"/>
      <c r="O9" s="302">
        <v>42985</v>
      </c>
      <c r="P9" s="259"/>
      <c r="Q9" s="191">
        <f>SUM(Y28,Y29)</f>
        <v>0</v>
      </c>
      <c r="R9" s="90" t="s">
        <v>100</v>
      </c>
      <c r="S9" s="82" t="s">
        <v>255</v>
      </c>
      <c r="U9" s="90" t="s">
        <v>5</v>
      </c>
      <c r="V9" s="91"/>
      <c r="X9" s="83" t="s">
        <v>12</v>
      </c>
      <c r="Y9" s="97">
        <f>COUNTIFS($B:$B,"Pittsburgh",$C:$C,"ECDC")</f>
        <v>7</v>
      </c>
      <c r="Z9" s="135">
        <f>SUM(AI10:AK10,AM10:AN10,AP10:AU10,AW10:BC10)</f>
        <v>0</v>
      </c>
      <c r="AA9" s="135">
        <f>SUM(BI10:CD10,CF10:CO10,CQ10)</f>
        <v>0</v>
      </c>
      <c r="AB9" s="135">
        <f t="shared" si="78"/>
        <v>2</v>
      </c>
      <c r="AC9" s="135">
        <f>SUM(EQ10:EX10,EZ10)</f>
        <v>0</v>
      </c>
      <c r="AD9" s="135">
        <f>SUM(FF10:FH10)</f>
        <v>0</v>
      </c>
      <c r="AF9" s="159" t="s">
        <v>780</v>
      </c>
      <c r="AG9" s="160" t="s">
        <v>333</v>
      </c>
      <c r="AH9" s="114">
        <f t="shared" ref="AH9" si="121">SUM(AI9:AK9,AM9:AN9,AP9:AU9,AW9:BC9,BI9:CD9,CF9:CO9,CQ9,CW9:CZ9,DB9:DD9,DF9:EH9,EK9,EL9:EN9,EQ9:EX9,EZ9,FF9:FH9)</f>
        <v>2</v>
      </c>
      <c r="AI9" s="259">
        <f t="shared" ref="AI9:AI38" si="122">COUNTIFS($B:$B,"Pittsburgh",$C:$C,"ECDC",$M:$M,AG9)</f>
        <v>0</v>
      </c>
      <c r="AJ9" s="259">
        <f t="shared" ref="AJ9:AJ38" si="123">COUNTIFS($B:$B,"LEETSDALE",$C:$C,"ECDC",$M:$M,AG9)</f>
        <v>0</v>
      </c>
      <c r="AK9" s="259">
        <f t="shared" ref="AK9:AK38" si="124">COUNTIFS($B:$B,"SEWICKLEY",$C:$C,"ECDC",$M:$M,AG9)</f>
        <v>0</v>
      </c>
      <c r="AL9" s="136">
        <f t="shared" ref="AL9:AL38" si="125">SUM(AI9:AK9)</f>
        <v>0</v>
      </c>
      <c r="AM9" s="259">
        <f t="shared" ref="AM9:AM38" si="126">COUNTIFS($B:$B,"Pittsburgh",$C:$C,"HIAS",$M:$M,AG9)</f>
        <v>0</v>
      </c>
      <c r="AN9" s="259">
        <f t="shared" ref="AN9:AN38" si="127">COUNTIFS($B:$B,"CASTLE SHANNON",$C:$C,"HIAS",$M:$M,AG9)</f>
        <v>0</v>
      </c>
      <c r="AO9" s="259">
        <f t="shared" ref="AO9:AO38" si="128">SUM(AM9:AN9)</f>
        <v>0</v>
      </c>
      <c r="AP9" s="259">
        <f t="shared" ref="AP9:AP38" si="129">COUNTIFS($B:$B,"CANONSBURG",$C:$C,"USCCB",$M:$M,AG9)</f>
        <v>0</v>
      </c>
      <c r="AQ9" s="259">
        <f t="shared" ref="AQ9:AQ38" si="130">COUNTIFS($B:$B,"HANOVER TOWNSHIP",$C:$C,"USCCB",$M:$M,AG9)</f>
        <v>0</v>
      </c>
      <c r="AR9" s="259">
        <f t="shared" ref="AR9:AR38" si="131">COUNTIFS($B:$B,"INDIANA",$C:$C,"USCCB",$M:$M,AG9)</f>
        <v>0</v>
      </c>
      <c r="AS9" s="259">
        <f t="shared" ref="AS9:AS38" si="132">COUNTIFS($B:$B,"DUBOIS",$C:$C,"USCCB",$M:$M,AG9)</f>
        <v>0</v>
      </c>
      <c r="AT9" s="259">
        <f t="shared" ref="AT9:AT38" si="133">COUNTIFS($B:$B,"Pittsburgh",$C:$C,"USCCB",$M:$M,AG9)</f>
        <v>0</v>
      </c>
      <c r="AU9" s="259">
        <f t="shared" ref="AU9:AU38" si="134">COUNTIFS($B:$B,"SHARPSBURG",$C:$C,"USCCB",$M:$M,AG9)</f>
        <v>0</v>
      </c>
      <c r="AV9" s="259">
        <f t="shared" ref="AV9:AV38" si="135">SUM(AP9:AU9)</f>
        <v>0</v>
      </c>
      <c r="AW9" s="259">
        <f t="shared" ref="AW9:AW38" si="136">COUNTIFS($B:$B,"BELLEVUE",$C:$C,"USCRI",$M:$M,AG9)</f>
        <v>0</v>
      </c>
      <c r="AX9" s="259">
        <f t="shared" ref="AX9:AX38" si="137">COUNTIFS($B:$B,"BRENTWOOD",$C:$C,"USCRI",$M:$M,AG9)</f>
        <v>0</v>
      </c>
      <c r="AY9" s="259">
        <f t="shared" ref="AY9:AY38" si="138">COUNTIFS($B:$B,"CLAIRTON",$C:$C,"USCRI",$M:$M,AG9)</f>
        <v>0</v>
      </c>
      <c r="AZ9" s="259">
        <f t="shared" ref="AZ9:AZ38" si="139">COUNTIFS($B:$B,"EAST MILLSBORO",$C:$C,"USCRI",$M:$M,AG9)</f>
        <v>0</v>
      </c>
      <c r="BA9" s="259">
        <f t="shared" ref="BA9:BA38" si="140">COUNTIFS($B:$B,"ETNA",$C:$C,"USCRI",$M:$M,AG9)</f>
        <v>0</v>
      </c>
      <c r="BB9" s="259">
        <f t="shared" ref="BB9:BB38" si="141">COUNTIFS($B:$B,"Pittsburgh",$C:$C,"USCRI",$M:$M,AG9)</f>
        <v>0</v>
      </c>
      <c r="BC9" s="263">
        <f t="shared" ref="BC9:BC38" si="142">COUNTIFS($B:$B,"CASTLE SHANNON",$C:$C,"USCRI",$M:$M,AG9)</f>
        <v>0</v>
      </c>
      <c r="BD9" s="259">
        <f t="shared" ref="BD9:BD38" si="143">SUM(AW9:BC9)</f>
        <v>0</v>
      </c>
      <c r="BE9" s="259"/>
      <c r="BF9" s="259"/>
      <c r="BG9" s="259"/>
      <c r="BH9" s="259"/>
      <c r="BI9" s="259">
        <f t="shared" ref="BI9:BI38" si="144">COUNTIFS($B:$B,"BOALSBURG",$C:$C,"USCCB",$M:$M,AG9)</f>
        <v>0</v>
      </c>
      <c r="BJ9" s="259">
        <f t="shared" ref="BJ9:BJ38" si="145">COUNTIFS($B:$B,"CAMP HILL",$C:$C,"USCCB",$M:$M,AG9)</f>
        <v>0</v>
      </c>
      <c r="BK9" s="259">
        <f t="shared" ref="BK9:BK38" si="146">COUNTIFS($B:$B,"CARLISLE",$C:$C,"USCCB",$M:$M,AG9)</f>
        <v>0</v>
      </c>
      <c r="BL9" s="259">
        <f t="shared" ref="BL9:BL38" si="147">COUNTIFS($B:$B,"CHAMBERSBURG",$C:$C,"USCCB",$M:$M,AG9)</f>
        <v>0</v>
      </c>
      <c r="BM9" s="259">
        <f t="shared" ref="BM9:BM38" si="148">COUNTIFS($B:$B,"ELIZABETHTOWN",$C:$C,"USCCB",$M:$M,AG9)</f>
        <v>0</v>
      </c>
      <c r="BN9" s="259">
        <f t="shared" ref="BN9:BN38" si="149">COUNTIFS($B:$B,"ENOLA",$C:$C,"USCCB",$M:$M,AG9)</f>
        <v>0</v>
      </c>
      <c r="BO9" s="259">
        <f t="shared" ref="BO9:BO38" si="150">COUNTIFS($B:$B,"ETTERS",$C:$C,"USCCB",$M:$M,AG9)</f>
        <v>0</v>
      </c>
      <c r="BP9" s="259">
        <f t="shared" ref="BP9:BP38" si="151">COUNTIFS($B:$B,"GETTYSBURG",$C:$C,"USCCB",$M:$M,AG9)</f>
        <v>0</v>
      </c>
      <c r="BQ9" s="259">
        <f t="shared" ref="BQ9:BQ38" si="152">COUNTIFS($B:$B,"GREENCASTLE",$C:$C,"USCCB",$M:$M,AG9)</f>
        <v>0</v>
      </c>
      <c r="BR9" s="259">
        <f t="shared" ref="BR9:BR38" si="153">COUNTIFS($B:$B,"HAMPDEN TOWNSHIP",$C:$C,"USCCB",$M:$M,AG9)</f>
        <v>0</v>
      </c>
      <c r="BS9" s="259">
        <f t="shared" ref="BS9:BS38" si="154">COUNTIFS($B:$B,"HARRISBURG",$C:$C,"USCCB",$M:$M,AG9)</f>
        <v>0</v>
      </c>
      <c r="BT9" s="259">
        <f t="shared" ref="BT9:BT38" si="155">COUNTIFS($B:$B,"HUMMELSTOWN",$C:$C,"USCCB",$M:$M,AG9)</f>
        <v>0</v>
      </c>
      <c r="BU9" s="259">
        <f t="shared" ref="BU9:BU38" si="156">COUNTIFS($B:$B,"LEBANON",$C:$C,"USCCB",$M:$M,AG9)</f>
        <v>0</v>
      </c>
      <c r="BV9" s="259">
        <f t="shared" ref="BV9:BV38" si="157">COUNTIFS($B:$B,"MCSHERRYSTOWN",$C:$C,"USCCB",$M:$M,AG9)</f>
        <v>0</v>
      </c>
      <c r="BW9" s="259">
        <f t="shared" ref="BW9:BW38" si="158">COUNTIFS($B:$B,"MECHANICSBURG",$C:$C,"USCCB",$M:$M,AG9)</f>
        <v>0</v>
      </c>
      <c r="BX9" s="259">
        <f t="shared" ref="BX9:BX38" si="159">COUNTIFS($B:$B,"MIDDLETOWN",$C:$C,"USCCB",$M:$M,AG9)</f>
        <v>0</v>
      </c>
      <c r="BY9" s="259">
        <f t="shared" ref="BY9:BY38" si="160">COUNTIFS($B:$B,"NEW CUMBERLAND",$C:$C,"USCCB",$M:$M,AG9)</f>
        <v>0</v>
      </c>
      <c r="BZ9" s="259">
        <f t="shared" ref="BZ9:BZ38" si="161">COUNTIFS($B:$B,"PALMYRA",$C:$C,"USCCB",$M:$M,AG9)</f>
        <v>0</v>
      </c>
      <c r="CA9" s="259">
        <f t="shared" ref="CA9:CA38" si="162">COUNTIFS($B:$B,"SHIREMANSTOWN",$C:$C,"USCCB",$M:$M,AG9)</f>
        <v>0</v>
      </c>
      <c r="CB9" s="259">
        <f t="shared" ref="CB9:CB38" si="163">COUNTIFS($B:$B,"STATE COLLEGE",$C:$C,"USCCB",$M:$M,AG9)</f>
        <v>0</v>
      </c>
      <c r="CC9" s="259">
        <f t="shared" ref="CC9:CC38" si="164">COUNTIFS($B:$B,"WINFIELD",$C:$C,"USCCB",$M:$M,AG9)</f>
        <v>0</v>
      </c>
      <c r="CD9" s="259">
        <f t="shared" ref="CD9:CD38" si="165">COUNTIFS($B:$B,"YORK",$C:$C,"USCCB",$M:$M,AG9)</f>
        <v>0</v>
      </c>
      <c r="CE9" s="259">
        <f t="shared" ref="CE9:CE38" si="166">SUM(BI9:CD9)</f>
        <v>0</v>
      </c>
      <c r="CF9" s="259">
        <f t="shared" ref="CF9:CF38" si="167">COUNTIFS($B:$B,"ELIZABETHTOWN",$C:$C,"CWS ",$M:$M,AG9)</f>
        <v>0</v>
      </c>
      <c r="CG9" s="259">
        <f t="shared" ref="CG9:CG38" si="168">COUNTIFS($B:$B,"GETTYSBURG",$C:$C,"CWS ",$M:$M,AG9)</f>
        <v>0</v>
      </c>
      <c r="CH9" s="259">
        <f t="shared" ref="CH9:CH38" si="169">COUNTIFS($B:$B,"HARRISBURG",$C:$C,"CWS ",$M:$M,AG9)</f>
        <v>0</v>
      </c>
      <c r="CI9" s="259">
        <f t="shared" ref="CI9:CI38" si="170">COUNTIFS($B:$B,"LANCASTER",$C:$C,"CWS ",$M:$M,AG9)</f>
        <v>0</v>
      </c>
      <c r="CJ9" s="259">
        <f t="shared" ref="CJ9:CJ38" si="171">COUNTIFS($B:$B,"LEOLA",$C:$C,"CWS ",$M:$M,AG9)</f>
        <v>0</v>
      </c>
      <c r="CK9" s="259">
        <f t="shared" ref="CK9:CK38" si="172">COUNTIFS($B:$B,"LITITZ",$C:$C,"CWS ",$M:$M,AG9)</f>
        <v>0</v>
      </c>
      <c r="CL9" s="259">
        <f t="shared" ref="CL9:CL38" si="173">COUNTIFS($B:$B,"MECHANICSBURG",$C:$C,"CWS ",$M:$M,AG9)</f>
        <v>0</v>
      </c>
      <c r="CM9" s="259">
        <f t="shared" ref="CM9:CM38" si="174">COUNTIFS($B:$B,"MOUNT JOY",$C:$C,"CWS ",$M:$M,AG9)</f>
        <v>0</v>
      </c>
      <c r="CN9" s="259">
        <f t="shared" ref="CN9:CN38" si="175">COUNTIFS($B:$B,"YORK",$C:$C,"CWS ",$M:$M,AG9)</f>
        <v>0</v>
      </c>
      <c r="CO9" s="259">
        <f t="shared" ref="CO9:CO38" si="176">COUNTIFS($B:$B,"EPHRATA",$C:$C,"CWS ",$M:$M,AG9)</f>
        <v>0</v>
      </c>
      <c r="CP9" s="259">
        <f t="shared" ref="CP9:CP38" si="177">SUM(CF9,CG9,CH9,CJ9,CK9,CL9,CM9,CN9,CO9)</f>
        <v>0</v>
      </c>
      <c r="CQ9" s="259">
        <f t="shared" ref="CQ9:CQ38" si="178">COUNTIFS($B:$B,"LANCASTER",$C:$C,"LIRS",$M:$M,AG9)</f>
        <v>0</v>
      </c>
      <c r="CR9" s="259"/>
      <c r="CS9" s="259"/>
      <c r="CT9" s="259"/>
      <c r="CU9" s="259"/>
      <c r="CV9" s="259"/>
      <c r="CW9" s="259">
        <f t="shared" ref="CW9:CW38" si="179">COUNTIFS($B:$B,"PHILADELPHIA",$C:$C,"HIAS",$M:$M,AG9)</f>
        <v>0</v>
      </c>
      <c r="CX9" s="259">
        <f t="shared" ref="CX9:CX38" si="180">COUNTIFS($B:$B,"BIRDSBORO",$C:$C,"CWS ",$M:$M,AG9)</f>
        <v>0</v>
      </c>
      <c r="CY9" s="259">
        <f t="shared" ref="CY9:CY38" si="181">COUNTIFS($B:$B,"CONSHOHOCKEN",$C:$C,"CWS ",$M:$M,AG9)</f>
        <v>0</v>
      </c>
      <c r="CZ9" s="259">
        <f t="shared" ref="CZ9:CZ38" si="182">COUNTIFS($B:$B,"PHILADELPHIA",$C:$C,"CWS ",$M:$M,AG9)</f>
        <v>0</v>
      </c>
      <c r="DA9" s="259">
        <f t="shared" ref="DA9:DA38" si="183">SUM(CX9:CZ9)</f>
        <v>0</v>
      </c>
      <c r="DB9" s="259">
        <f t="shared" ref="DB9:DB38" si="184">COUNTIFS($B:$B,"PHILADELPHIA",$C:$C,"LIRS",$M:$M,AG9)</f>
        <v>0</v>
      </c>
      <c r="DC9" s="259">
        <f t="shared" ref="DC9:DC38" si="185">COUNTIFS($B:$B,"ROSLYN",$C:$C,"LIRS",$M:$M,AG9)</f>
        <v>0</v>
      </c>
      <c r="DD9" s="259">
        <f t="shared" ref="DD9:DD38" si="186">COUNTIFS($B:$B,"WEST CHESTER",$C:$C,"LIRS",$M:$M,AG9)</f>
        <v>0</v>
      </c>
      <c r="DE9" s="259">
        <f t="shared" ref="DE9:DE38" si="187">SUM(DB9:DD9)</f>
        <v>0</v>
      </c>
      <c r="DF9" s="259">
        <f t="shared" ref="DF9:DF38" si="188">COUNTIFS($B:$B,"AVONDALE",$C:$C,"USCRI",$M:$M,AG9)</f>
        <v>0</v>
      </c>
      <c r="DG9" s="259">
        <f t="shared" ref="DG9:DG38" si="189">COUNTIFS($B:$B,"BENSALEM",$C:$C,"USCRI",$M:$M,AG9)</f>
        <v>0</v>
      </c>
      <c r="DH9" s="259">
        <f t="shared" ref="DH9:DH38" si="190">COUNTIFS($B:$B,"BOOTHWYN",$C:$C,"USCRI",$M:$M,AG9)</f>
        <v>0</v>
      </c>
      <c r="DI9" s="259">
        <f t="shared" ref="DI9:DI38" si="191">COUNTIFS($B:$B,"BROOMALL",$C:$C,"USCRI",$M:$M,AG9)</f>
        <v>0</v>
      </c>
      <c r="DJ9" s="259">
        <f t="shared" ref="DJ9:DJ38" si="192">COUNTIFS($B:$B,"CHESTER",$C:$C,"USCRI",$M:$M,AG9)</f>
        <v>0</v>
      </c>
      <c r="DK9" s="259">
        <f t="shared" ref="DK9:DK38" si="193">COUNTIFS($B:$B,"CLIFTON HEIGHTS",$C:$C,"USCRI",$M:$M,AG9)</f>
        <v>0</v>
      </c>
      <c r="DL9" s="259">
        <f t="shared" ref="DL9:DL38" si="194">COUNTIFS($B:$B,"COLLEGEVILLE",$C:$C,"USCRI",$M:$M,AG9)</f>
        <v>0</v>
      </c>
      <c r="DM9" s="259">
        <f t="shared" ref="DM9:DM38" si="195">COUNTIFS($B:$B,"COLLINGDALE",$C:$C,"USCRI",$M:$M,AG9)</f>
        <v>0</v>
      </c>
      <c r="DN9" s="259">
        <f t="shared" ref="DN9:DN38" si="196">COUNTIFS($B:$B,"CONSHOHOCKEN",$C:$C,"USCRI",$M:$M,AG9)</f>
        <v>0</v>
      </c>
      <c r="DO9" s="259">
        <f t="shared" ref="DO9:DO38" si="197">COUNTIFS($B:$B,"DARBY",$C:$C,"USCRI",$M:$M,AG9)</f>
        <v>0</v>
      </c>
      <c r="DP9" s="259">
        <f t="shared" ref="DP9:DP38" si="198">COUNTIFS($B:$B,"DOWNINGTOWN",$C:$C,"USCRI",$M:$M,AG9)</f>
        <v>0</v>
      </c>
      <c r="DQ9" s="259">
        <f t="shared" ref="DQ9:DQ38" si="199">COUNTIFS($B:$B,"ELKINS PARK",$C:$C,"USCRI",$M:$M,AG9)</f>
        <v>0</v>
      </c>
      <c r="DR9" s="259">
        <f t="shared" ref="DR9:DR38" si="200">COUNTIFS($B:$B,"FEASTERVILLE",$C:$C,"USCRI",$M:$M,AG9)</f>
        <v>0</v>
      </c>
      <c r="DS9" s="259">
        <f t="shared" ref="DS9:DS38" si="201">COUNTIFS($B:$B,"HORSHAM",$C:$C,"USCRI",$M:$M,AG9)</f>
        <v>0</v>
      </c>
      <c r="DT9" s="259">
        <f t="shared" ref="DT9:DT38" si="202">COUNTIFS($B:$B,"LANGHORNE",$C:$C,"USCRI",$M:$M,AG9)</f>
        <v>0</v>
      </c>
      <c r="DU9" s="259">
        <f t="shared" ref="DU9:DU38" si="203">COUNTIFS($B:$B,"LEVITTOWN",$C:$C,"USCRI",$M:$M,AG9)</f>
        <v>0</v>
      </c>
      <c r="DV9" s="259">
        <f t="shared" ref="DV9:DV38" si="204">COUNTIFS($B:$B,"MEDIA",$C:$C,"USCRI",$M:$M,AG9)</f>
        <v>0</v>
      </c>
      <c r="DW9" s="259">
        <f t="shared" ref="DW9:DW38" si="205">COUNTIFS($B:$B,"NORRISTOWN",$C:$C,"USCRI",$M:$M,AG9)</f>
        <v>0</v>
      </c>
      <c r="DX9" s="259">
        <f t="shared" ref="DX9:DX38" si="206">COUNTIFS($B:$B,"NORWOOD",$C:$C,"USCRI",$M:$M,AG9)</f>
        <v>0</v>
      </c>
      <c r="DY9" s="259">
        <f t="shared" ref="DY9:DY38" si="207">COUNTIFS($B:$B,"PHILADELPHIA",$C:$C,"USCRI",$M:$M,AG9)</f>
        <v>2</v>
      </c>
      <c r="DZ9" s="259">
        <f t="shared" ref="DZ9:DZ38" si="208">COUNTIFS($B:$B,"SWARTHMORE",$C:$C,"USCRI",$M:$M,AG9)</f>
        <v>0</v>
      </c>
      <c r="EA9" s="259">
        <f t="shared" ref="EA9:EA38" si="209">COUNTIFS($B:$B,"TREVOSE",$C:$C,"USCRI",$M:$M,AG9)</f>
        <v>0</v>
      </c>
      <c r="EB9" s="259">
        <f t="shared" ref="EB9:EB38" si="210">COUNTIFS($B:$B,"FEASTERVILLE TREVOSE",$C:$C,"USCRI",$M:$M,AG9)</f>
        <v>0</v>
      </c>
      <c r="EC9" s="263">
        <f t="shared" ref="EC9:EC38" si="211">COUNTIFS($B:$B,"HUNTINGTON VALLEY",$C:$C,"USCRI",$M:$M,AG9)</f>
        <v>0</v>
      </c>
      <c r="ED9" s="259">
        <f t="shared" ref="ED9:ED38" si="212">COUNTIFS($B:$B,"UPPER CHICHESTER",$C:$C,"USCRI",$M:$M,AG9)</f>
        <v>0</v>
      </c>
      <c r="EE9" s="259">
        <f t="shared" ref="EE9:EE38" si="213">COUNTIFS($B:$B,"WARMINSTER",$C:$C,"USCRI",$M:$M,AG9)</f>
        <v>0</v>
      </c>
      <c r="EF9" s="259">
        <f t="shared" ref="EF9:EF38" si="214">COUNTIFS($B:$B,"WEST CHESTER",$C:$C,"USCRI",$M:$M,AG9)</f>
        <v>0</v>
      </c>
      <c r="EG9" s="259">
        <f t="shared" ref="EG9:EG38" si="215">COUNTIFS($B:$B,"WILLOW GROVE",$C:$C,"USCRI",$M:$M,AG9)</f>
        <v>0</v>
      </c>
      <c r="EH9" s="259">
        <f t="shared" ref="EH9:EH38" si="216">COUNTIFS($B:$B,"SOUTHAMPTON",$C:$C,"USCRI",$M:$M,AG9)</f>
        <v>0</v>
      </c>
      <c r="EI9" s="259">
        <f t="shared" ref="EI9:EI38" si="217">SUM(DF9:EH9)</f>
        <v>2</v>
      </c>
      <c r="EJ9" s="259">
        <f t="shared" si="114"/>
        <v>0</v>
      </c>
      <c r="EK9" s="259">
        <f t="shared" ref="EK9:EK38" si="218">COUNTIFS($B:$B,"ELKINS PARK",$C:$C,"USCCB",$M:$M,AG9)</f>
        <v>0</v>
      </c>
      <c r="EL9" s="259">
        <f t="shared" ref="EL9:EL38" si="219">COUNTIFS($B:$B,"CHESTER",$C:$C,"USCCB",$M:$M,AG9)</f>
        <v>0</v>
      </c>
      <c r="EM9" s="259">
        <f t="shared" ref="EM9:EM38" si="220">COUNTIFS($B:$B,"GLENOLDEN",$C:$C,"USCCB",$M:$M,AG9)</f>
        <v>0</v>
      </c>
      <c r="EN9" s="259">
        <f t="shared" ref="EN9:EN38" si="221">COUNTIFS($B:$B,"WARMINSTER",$C:$C,"USCCB",$M:$M,AG9)</f>
        <v>0</v>
      </c>
      <c r="EO9" s="259">
        <f t="shared" ref="EO9:EO38" si="222">SUM(EK9:EN9)</f>
        <v>0</v>
      </c>
      <c r="EP9" s="259"/>
      <c r="EQ9" s="259">
        <f t="shared" ref="EQ9:EQ38" si="223">COUNTIFS($B:$B,"ALLENTOWN",$C:$C,"USCCB",$M:$M,AG9)</f>
        <v>0</v>
      </c>
      <c r="ER9" s="259">
        <f t="shared" ref="ER9:ER38" si="224">COUNTIFS($B:$B,"EASTON",$C:$C,"USCCB",$M:$M,AG9)</f>
        <v>0</v>
      </c>
      <c r="ES9" s="259">
        <f t="shared" ref="ES9:ES38" si="225">COUNTIFS($B:$B,"KINGSTON",$C:$C,"USCCB",$M:$M,AG9)</f>
        <v>0</v>
      </c>
      <c r="ET9" s="259">
        <f t="shared" ref="ET9:ET38" si="226">COUNTIFS($B:$B,"NORTHAMPTON",$C:$C,"USCCB",$M:$M,AG9)</f>
        <v>0</v>
      </c>
      <c r="EU9" s="259">
        <f t="shared" ref="EU9:EU38" si="227">COUNTIFS($B:$B,"SCRANTON",$C:$C,"USCCB",$M:$M,AG9)</f>
        <v>0</v>
      </c>
      <c r="EV9" s="259">
        <f t="shared" ref="EV9:EV38" si="228">COUNTIFS($B:$B,"TAYLOR",$C:$C,"USCCB",$M:$M,AG9)</f>
        <v>0</v>
      </c>
      <c r="EW9" s="259">
        <f t="shared" ref="EW9:EW38" si="229">COUNTIFS($B:$B,"WILKES-BARRE",$C:$C,"USCCB",$M:$M,AG9)</f>
        <v>0</v>
      </c>
      <c r="EX9" s="259">
        <f t="shared" ref="EX9:EX38" si="230">COUNTIFS($B:$B,"WILLIAMSPORT",$C:$C,"USCCB",$M:$M,AG9)</f>
        <v>0</v>
      </c>
      <c r="EY9" s="259">
        <f t="shared" ref="EY9:EY38" si="231">SUM(EQ9,ER9,ES9,ET9,EV9,EW9,EX9)</f>
        <v>0</v>
      </c>
      <c r="EZ9" s="259">
        <f t="shared" ref="EZ9:EZ38" si="232">COUNTIFS($B:$B,"ALLENTOWN",$C:$C,"LIRS",$M:$M,AG9)</f>
        <v>0</v>
      </c>
      <c r="FA9" s="259"/>
      <c r="FB9" s="259"/>
      <c r="FC9" s="259"/>
      <c r="FD9" s="259"/>
      <c r="FE9" s="259"/>
      <c r="FF9" s="259">
        <f t="shared" ref="FF9:FF38" si="233">COUNTIFS($B:$B,"ERIE",$C:$C,"USCCB",$M:$M,AG9)</f>
        <v>0</v>
      </c>
      <c r="FG9" s="259">
        <f t="shared" ref="FG9:FG38" si="234">COUNTIFS($B:$B,"ERIE",$C:$C,"USCRI",$M:$M,AG9)</f>
        <v>0</v>
      </c>
      <c r="FH9" s="259">
        <f t="shared" ref="FH9:FH38" si="235">COUNTIFS($B:$B,"GIRARD",$C:$C,"USCRI",$M:$M,AG9)</f>
        <v>0</v>
      </c>
      <c r="FI9" s="259">
        <f t="shared" ref="FI9:FI38" si="236">SUM(FG9:FH9)</f>
        <v>0</v>
      </c>
      <c r="FL9" s="159" t="s">
        <v>780</v>
      </c>
      <c r="FM9" s="160" t="s">
        <v>333</v>
      </c>
    </row>
    <row r="10" spans="1:169" ht="15.75" thickBot="1" x14ac:dyDescent="0.3">
      <c r="A10" s="304">
        <v>8</v>
      </c>
      <c r="B10" s="299" t="s">
        <v>4</v>
      </c>
      <c r="C10" s="300" t="s">
        <v>3</v>
      </c>
      <c r="D10" s="299"/>
      <c r="E10" s="301"/>
      <c r="F10" s="301"/>
      <c r="G10" s="301"/>
      <c r="H10" s="299"/>
      <c r="I10" s="299"/>
      <c r="J10" s="299"/>
      <c r="K10" s="301"/>
      <c r="L10" s="302"/>
      <c r="M10" s="301" t="s">
        <v>150</v>
      </c>
      <c r="N10" s="303"/>
      <c r="O10" s="302">
        <v>42999</v>
      </c>
      <c r="P10" s="259"/>
      <c r="S10" s="82"/>
      <c r="X10" s="83" t="s">
        <v>61</v>
      </c>
      <c r="Y10" s="97">
        <f>COUNTIFS($B:$B,"LEETSDALE",$C:$C,"ECDC")</f>
        <v>0</v>
      </c>
      <c r="Z10" s="135">
        <f>SUM(AI11:AK11,AM11:AN11,AP11:AU11,AW11:BC11)</f>
        <v>0</v>
      </c>
      <c r="AA10" s="135">
        <f>SUM(BI11:CD11,CF11:CO11,CQ11)</f>
        <v>5</v>
      </c>
      <c r="AB10" s="135">
        <f t="shared" si="78"/>
        <v>0</v>
      </c>
      <c r="AC10" s="135">
        <f>SUM(EQ11:EX11,EZ11)</f>
        <v>0</v>
      </c>
      <c r="AD10" s="135">
        <f>SUM(FF11:FH11)</f>
        <v>0</v>
      </c>
      <c r="AF10" s="159" t="s">
        <v>144</v>
      </c>
      <c r="AG10" s="160" t="s">
        <v>145</v>
      </c>
      <c r="AH10" s="114">
        <f>SUM(AI10:AK10,AM10:AN10,AP10:AU10,AW10:BC10,BI10:CD10,CF10:CO10,CQ10,CW10:CZ10,DB10:DD10,DF10:EH10,EK10,EL10:EN10,EQ10:EX10,EZ10,FF10:FH10)</f>
        <v>0</v>
      </c>
      <c r="AI10" s="259">
        <f t="shared" si="122"/>
        <v>0</v>
      </c>
      <c r="AJ10" s="259">
        <f t="shared" si="123"/>
        <v>0</v>
      </c>
      <c r="AK10" s="259">
        <f t="shared" si="124"/>
        <v>0</v>
      </c>
      <c r="AL10" s="136">
        <f t="shared" si="125"/>
        <v>0</v>
      </c>
      <c r="AM10" s="259">
        <f t="shared" si="126"/>
        <v>0</v>
      </c>
      <c r="AN10" s="259">
        <f t="shared" si="127"/>
        <v>0</v>
      </c>
      <c r="AO10" s="259">
        <f t="shared" si="128"/>
        <v>0</v>
      </c>
      <c r="AP10" s="259">
        <f t="shared" si="129"/>
        <v>0</v>
      </c>
      <c r="AQ10" s="259">
        <f t="shared" si="130"/>
        <v>0</v>
      </c>
      <c r="AR10" s="259">
        <f t="shared" si="131"/>
        <v>0</v>
      </c>
      <c r="AS10" s="259">
        <f t="shared" si="132"/>
        <v>0</v>
      </c>
      <c r="AT10" s="259">
        <f t="shared" si="133"/>
        <v>0</v>
      </c>
      <c r="AU10" s="259">
        <f t="shared" si="134"/>
        <v>0</v>
      </c>
      <c r="AV10" s="259">
        <f t="shared" si="135"/>
        <v>0</v>
      </c>
      <c r="AW10" s="259">
        <f t="shared" si="136"/>
        <v>0</v>
      </c>
      <c r="AX10" s="259">
        <f t="shared" si="137"/>
        <v>0</v>
      </c>
      <c r="AY10" s="259">
        <f t="shared" si="138"/>
        <v>0</v>
      </c>
      <c r="AZ10" s="259">
        <f t="shared" si="139"/>
        <v>0</v>
      </c>
      <c r="BA10" s="259">
        <f t="shared" si="140"/>
        <v>0</v>
      </c>
      <c r="BB10" s="259">
        <f t="shared" si="141"/>
        <v>0</v>
      </c>
      <c r="BC10" s="263">
        <f t="shared" si="142"/>
        <v>0</v>
      </c>
      <c r="BD10" s="259">
        <f t="shared" si="143"/>
        <v>0</v>
      </c>
      <c r="BE10" s="259"/>
      <c r="BF10" s="259"/>
      <c r="BG10" s="259"/>
      <c r="BH10" s="259"/>
      <c r="BI10" s="259">
        <f t="shared" si="144"/>
        <v>0</v>
      </c>
      <c r="BJ10" s="259">
        <f t="shared" si="145"/>
        <v>0</v>
      </c>
      <c r="BK10" s="259">
        <f t="shared" si="146"/>
        <v>0</v>
      </c>
      <c r="BL10" s="259">
        <f t="shared" si="147"/>
        <v>0</v>
      </c>
      <c r="BM10" s="259">
        <f t="shared" si="148"/>
        <v>0</v>
      </c>
      <c r="BN10" s="259">
        <f t="shared" si="149"/>
        <v>0</v>
      </c>
      <c r="BO10" s="259">
        <f t="shared" si="150"/>
        <v>0</v>
      </c>
      <c r="BP10" s="259">
        <f t="shared" si="151"/>
        <v>0</v>
      </c>
      <c r="BQ10" s="259">
        <f t="shared" si="152"/>
        <v>0</v>
      </c>
      <c r="BR10" s="259">
        <f t="shared" si="153"/>
        <v>0</v>
      </c>
      <c r="BS10" s="259">
        <f t="shared" si="154"/>
        <v>0</v>
      </c>
      <c r="BT10" s="259">
        <f t="shared" si="155"/>
        <v>0</v>
      </c>
      <c r="BU10" s="259">
        <f t="shared" si="156"/>
        <v>0</v>
      </c>
      <c r="BV10" s="259">
        <f t="shared" si="157"/>
        <v>0</v>
      </c>
      <c r="BW10" s="259">
        <f t="shared" si="158"/>
        <v>0</v>
      </c>
      <c r="BX10" s="259">
        <f t="shared" si="159"/>
        <v>0</v>
      </c>
      <c r="BY10" s="259">
        <f t="shared" si="160"/>
        <v>0</v>
      </c>
      <c r="BZ10" s="259">
        <f t="shared" si="161"/>
        <v>0</v>
      </c>
      <c r="CA10" s="259">
        <f t="shared" si="162"/>
        <v>0</v>
      </c>
      <c r="CB10" s="259">
        <f t="shared" si="163"/>
        <v>0</v>
      </c>
      <c r="CC10" s="259">
        <f t="shared" si="164"/>
        <v>0</v>
      </c>
      <c r="CD10" s="259">
        <f t="shared" si="165"/>
        <v>0</v>
      </c>
      <c r="CE10" s="259">
        <f t="shared" si="166"/>
        <v>0</v>
      </c>
      <c r="CF10" s="259">
        <f t="shared" si="167"/>
        <v>0</v>
      </c>
      <c r="CG10" s="259">
        <f t="shared" si="168"/>
        <v>0</v>
      </c>
      <c r="CH10" s="259">
        <f t="shared" si="169"/>
        <v>0</v>
      </c>
      <c r="CI10" s="259">
        <f t="shared" si="170"/>
        <v>0</v>
      </c>
      <c r="CJ10" s="259">
        <f t="shared" si="171"/>
        <v>0</v>
      </c>
      <c r="CK10" s="259">
        <f t="shared" si="172"/>
        <v>0</v>
      </c>
      <c r="CL10" s="259">
        <f t="shared" si="173"/>
        <v>0</v>
      </c>
      <c r="CM10" s="259">
        <f t="shared" si="174"/>
        <v>0</v>
      </c>
      <c r="CN10" s="259">
        <f t="shared" si="175"/>
        <v>0</v>
      </c>
      <c r="CO10" s="259">
        <f t="shared" si="176"/>
        <v>0</v>
      </c>
      <c r="CP10" s="259">
        <f t="shared" si="177"/>
        <v>0</v>
      </c>
      <c r="CQ10" s="259">
        <f t="shared" si="178"/>
        <v>0</v>
      </c>
      <c r="CR10" s="259"/>
      <c r="CS10" s="259"/>
      <c r="CT10" s="259"/>
      <c r="CU10" s="259"/>
      <c r="CV10" s="259"/>
      <c r="CW10" s="259">
        <f t="shared" si="179"/>
        <v>0</v>
      </c>
      <c r="CX10" s="259">
        <f t="shared" si="180"/>
        <v>0</v>
      </c>
      <c r="CY10" s="259">
        <f t="shared" si="181"/>
        <v>0</v>
      </c>
      <c r="CZ10" s="259">
        <f t="shared" si="182"/>
        <v>0</v>
      </c>
      <c r="DA10" s="259">
        <f t="shared" si="183"/>
        <v>0</v>
      </c>
      <c r="DB10" s="259">
        <f t="shared" si="184"/>
        <v>0</v>
      </c>
      <c r="DC10" s="259">
        <f t="shared" si="185"/>
        <v>0</v>
      </c>
      <c r="DD10" s="259">
        <f t="shared" si="186"/>
        <v>0</v>
      </c>
      <c r="DE10" s="259">
        <f t="shared" si="187"/>
        <v>0</v>
      </c>
      <c r="DF10" s="259">
        <f t="shared" si="188"/>
        <v>0</v>
      </c>
      <c r="DG10" s="259">
        <f t="shared" si="189"/>
        <v>0</v>
      </c>
      <c r="DH10" s="259">
        <f t="shared" si="190"/>
        <v>0</v>
      </c>
      <c r="DI10" s="259">
        <f t="shared" si="191"/>
        <v>0</v>
      </c>
      <c r="DJ10" s="259">
        <f t="shared" si="192"/>
        <v>0</v>
      </c>
      <c r="DK10" s="259">
        <f t="shared" si="193"/>
        <v>0</v>
      </c>
      <c r="DL10" s="259">
        <f t="shared" si="194"/>
        <v>0</v>
      </c>
      <c r="DM10" s="259">
        <f t="shared" si="195"/>
        <v>0</v>
      </c>
      <c r="DN10" s="259">
        <f t="shared" si="196"/>
        <v>0</v>
      </c>
      <c r="DO10" s="259">
        <f t="shared" si="197"/>
        <v>0</v>
      </c>
      <c r="DP10" s="259">
        <f t="shared" si="198"/>
        <v>0</v>
      </c>
      <c r="DQ10" s="259">
        <f t="shared" si="199"/>
        <v>0</v>
      </c>
      <c r="DR10" s="259">
        <f t="shared" si="200"/>
        <v>0</v>
      </c>
      <c r="DS10" s="259">
        <f t="shared" si="201"/>
        <v>0</v>
      </c>
      <c r="DT10" s="259">
        <f t="shared" si="202"/>
        <v>0</v>
      </c>
      <c r="DU10" s="259">
        <f t="shared" si="203"/>
        <v>0</v>
      </c>
      <c r="DV10" s="259">
        <f t="shared" si="204"/>
        <v>0</v>
      </c>
      <c r="DW10" s="259">
        <f t="shared" si="205"/>
        <v>0</v>
      </c>
      <c r="DX10" s="259">
        <f t="shared" si="206"/>
        <v>0</v>
      </c>
      <c r="DY10" s="259">
        <f t="shared" si="207"/>
        <v>0</v>
      </c>
      <c r="DZ10" s="259">
        <f t="shared" si="208"/>
        <v>0</v>
      </c>
      <c r="EA10" s="259">
        <f t="shared" si="209"/>
        <v>0</v>
      </c>
      <c r="EB10" s="259">
        <f t="shared" si="210"/>
        <v>0</v>
      </c>
      <c r="EC10" s="263">
        <f t="shared" si="211"/>
        <v>0</v>
      </c>
      <c r="ED10" s="259">
        <f t="shared" si="212"/>
        <v>0</v>
      </c>
      <c r="EE10" s="259">
        <f t="shared" si="213"/>
        <v>0</v>
      </c>
      <c r="EF10" s="259">
        <f t="shared" si="214"/>
        <v>0</v>
      </c>
      <c r="EG10" s="259">
        <f t="shared" si="215"/>
        <v>0</v>
      </c>
      <c r="EH10" s="259">
        <f t="shared" si="216"/>
        <v>0</v>
      </c>
      <c r="EI10" s="259">
        <f t="shared" si="217"/>
        <v>0</v>
      </c>
      <c r="EJ10" s="259">
        <f t="shared" si="114"/>
        <v>0</v>
      </c>
      <c r="EK10" s="259">
        <f t="shared" si="218"/>
        <v>0</v>
      </c>
      <c r="EL10" s="259">
        <f t="shared" si="219"/>
        <v>0</v>
      </c>
      <c r="EM10" s="259">
        <f t="shared" si="220"/>
        <v>0</v>
      </c>
      <c r="EN10" s="259">
        <f t="shared" si="221"/>
        <v>0</v>
      </c>
      <c r="EO10" s="259">
        <f t="shared" si="222"/>
        <v>0</v>
      </c>
      <c r="EP10" s="259"/>
      <c r="EQ10" s="259">
        <f t="shared" si="223"/>
        <v>0</v>
      </c>
      <c r="ER10" s="259">
        <f t="shared" si="224"/>
        <v>0</v>
      </c>
      <c r="ES10" s="259">
        <f t="shared" si="225"/>
        <v>0</v>
      </c>
      <c r="ET10" s="259">
        <f t="shared" si="226"/>
        <v>0</v>
      </c>
      <c r="EU10" s="259">
        <f t="shared" si="227"/>
        <v>0</v>
      </c>
      <c r="EV10" s="259">
        <f t="shared" si="228"/>
        <v>0</v>
      </c>
      <c r="EW10" s="259">
        <f t="shared" si="229"/>
        <v>0</v>
      </c>
      <c r="EX10" s="259">
        <f t="shared" si="230"/>
        <v>0</v>
      </c>
      <c r="EY10" s="259">
        <f t="shared" si="231"/>
        <v>0</v>
      </c>
      <c r="EZ10" s="259">
        <f t="shared" si="232"/>
        <v>0</v>
      </c>
      <c r="FA10" s="259"/>
      <c r="FB10" s="259"/>
      <c r="FC10" s="259"/>
      <c r="FD10" s="259"/>
      <c r="FE10" s="259"/>
      <c r="FF10" s="259">
        <f t="shared" si="233"/>
        <v>0</v>
      </c>
      <c r="FG10" s="259">
        <f t="shared" si="234"/>
        <v>0</v>
      </c>
      <c r="FH10" s="259">
        <f t="shared" si="235"/>
        <v>0</v>
      </c>
      <c r="FI10" s="259">
        <f t="shared" si="236"/>
        <v>0</v>
      </c>
      <c r="FL10" s="159" t="s">
        <v>144</v>
      </c>
      <c r="FM10" s="160" t="s">
        <v>145</v>
      </c>
    </row>
    <row r="11" spans="1:169" ht="15.75" thickBot="1" x14ac:dyDescent="0.3">
      <c r="A11" s="304">
        <v>9</v>
      </c>
      <c r="B11" s="299" t="s">
        <v>4</v>
      </c>
      <c r="C11" s="300" t="s">
        <v>3</v>
      </c>
      <c r="D11" s="299"/>
      <c r="E11" s="301"/>
      <c r="F11" s="301"/>
      <c r="G11" s="301"/>
      <c r="H11" s="299"/>
      <c r="I11" s="299"/>
      <c r="J11" s="299"/>
      <c r="K11" s="301"/>
      <c r="L11" s="302"/>
      <c r="M11" s="301" t="s">
        <v>150</v>
      </c>
      <c r="N11" s="303"/>
      <c r="O11" s="302">
        <v>42999</v>
      </c>
      <c r="P11" s="259"/>
      <c r="R11" s="81" t="s">
        <v>32</v>
      </c>
      <c r="S11" s="82"/>
      <c r="U11" s="81" t="s">
        <v>148</v>
      </c>
      <c r="V11" s="82"/>
      <c r="X11" s="83" t="s">
        <v>62</v>
      </c>
      <c r="Y11" s="97">
        <f>COUNTIFS($B:$B,"SEWICKLEY",$C:$C,"ECDC")</f>
        <v>0</v>
      </c>
      <c r="Z11" s="135">
        <f>SUM(AI12:AK12,AM12:AN12,AP12:AU12,AW12:BC12)</f>
        <v>12</v>
      </c>
      <c r="AA11" s="135">
        <f>SUM(BI12:CD12,CF12:CO12,CQ12)</f>
        <v>30</v>
      </c>
      <c r="AB11" s="135">
        <f t="shared" si="78"/>
        <v>1</v>
      </c>
      <c r="AC11" s="135">
        <f>SUM(EQ12:EX12,EZ12)</f>
        <v>6</v>
      </c>
      <c r="AD11" s="135">
        <f>SUM(FF12:FH12)</f>
        <v>12</v>
      </c>
      <c r="AF11" s="159" t="s">
        <v>146</v>
      </c>
      <c r="AG11" s="160" t="s">
        <v>147</v>
      </c>
      <c r="AH11" s="114">
        <f>SUM(AI11:AK11,AM11:AN11,AP11:AU11,AW11:BC11,BI11:CD11,CF11:CO11,CQ11,CW11:CZ11,DB11:DD11,DF11:EH11,EK11,EL11:EN11,EQ11:EX11,EZ11,FF11:FH11)</f>
        <v>6</v>
      </c>
      <c r="AI11" s="259">
        <f t="shared" si="122"/>
        <v>0</v>
      </c>
      <c r="AJ11" s="259">
        <f t="shared" si="123"/>
        <v>0</v>
      </c>
      <c r="AK11" s="259">
        <f t="shared" si="124"/>
        <v>0</v>
      </c>
      <c r="AL11" s="136">
        <f t="shared" si="125"/>
        <v>0</v>
      </c>
      <c r="AM11" s="259">
        <f t="shared" si="126"/>
        <v>0</v>
      </c>
      <c r="AN11" s="259">
        <f t="shared" si="127"/>
        <v>0</v>
      </c>
      <c r="AO11" s="259">
        <f t="shared" si="128"/>
        <v>0</v>
      </c>
      <c r="AP11" s="259">
        <f t="shared" si="129"/>
        <v>0</v>
      </c>
      <c r="AQ11" s="259">
        <f t="shared" si="130"/>
        <v>0</v>
      </c>
      <c r="AR11" s="259">
        <f t="shared" si="131"/>
        <v>0</v>
      </c>
      <c r="AS11" s="259">
        <f t="shared" si="132"/>
        <v>0</v>
      </c>
      <c r="AT11" s="259">
        <f t="shared" si="133"/>
        <v>0</v>
      </c>
      <c r="AU11" s="259">
        <f t="shared" si="134"/>
        <v>0</v>
      </c>
      <c r="AV11" s="259">
        <f t="shared" si="135"/>
        <v>0</v>
      </c>
      <c r="AW11" s="259">
        <f t="shared" si="136"/>
        <v>0</v>
      </c>
      <c r="AX11" s="259">
        <f t="shared" si="137"/>
        <v>0</v>
      </c>
      <c r="AY11" s="259">
        <f t="shared" si="138"/>
        <v>0</v>
      </c>
      <c r="AZ11" s="259">
        <f t="shared" si="139"/>
        <v>0</v>
      </c>
      <c r="BA11" s="259">
        <f t="shared" si="140"/>
        <v>0</v>
      </c>
      <c r="BB11" s="259">
        <f t="shared" si="141"/>
        <v>0</v>
      </c>
      <c r="BC11" s="263">
        <f t="shared" si="142"/>
        <v>0</v>
      </c>
      <c r="BD11" s="259">
        <f t="shared" si="143"/>
        <v>0</v>
      </c>
      <c r="BE11" s="259"/>
      <c r="BF11" s="259"/>
      <c r="BG11" s="259"/>
      <c r="BH11" s="259"/>
      <c r="BI11" s="259">
        <f t="shared" si="144"/>
        <v>0</v>
      </c>
      <c r="BJ11" s="259">
        <f t="shared" si="145"/>
        <v>0</v>
      </c>
      <c r="BK11" s="259">
        <f t="shared" si="146"/>
        <v>0</v>
      </c>
      <c r="BL11" s="259">
        <f t="shared" si="147"/>
        <v>0</v>
      </c>
      <c r="BM11" s="259">
        <f t="shared" si="148"/>
        <v>0</v>
      </c>
      <c r="BN11" s="259">
        <f t="shared" si="149"/>
        <v>1</v>
      </c>
      <c r="BO11" s="259">
        <f t="shared" si="150"/>
        <v>0</v>
      </c>
      <c r="BP11" s="259">
        <f t="shared" si="151"/>
        <v>0</v>
      </c>
      <c r="BQ11" s="259">
        <f t="shared" si="152"/>
        <v>0</v>
      </c>
      <c r="BR11" s="259">
        <f t="shared" si="153"/>
        <v>0</v>
      </c>
      <c r="BS11" s="259">
        <f t="shared" si="154"/>
        <v>0</v>
      </c>
      <c r="BT11" s="259">
        <f t="shared" si="155"/>
        <v>0</v>
      </c>
      <c r="BU11" s="259">
        <f t="shared" si="156"/>
        <v>0</v>
      </c>
      <c r="BV11" s="259">
        <f t="shared" si="157"/>
        <v>0</v>
      </c>
      <c r="BW11" s="259">
        <f t="shared" si="158"/>
        <v>0</v>
      </c>
      <c r="BX11" s="259">
        <f t="shared" si="159"/>
        <v>0</v>
      </c>
      <c r="BY11" s="259">
        <f t="shared" si="160"/>
        <v>0</v>
      </c>
      <c r="BZ11" s="259">
        <f t="shared" si="161"/>
        <v>0</v>
      </c>
      <c r="CA11" s="259">
        <f t="shared" si="162"/>
        <v>0</v>
      </c>
      <c r="CB11" s="259">
        <f t="shared" si="163"/>
        <v>0</v>
      </c>
      <c r="CC11" s="259">
        <f t="shared" si="164"/>
        <v>0</v>
      </c>
      <c r="CD11" s="259">
        <f t="shared" si="165"/>
        <v>0</v>
      </c>
      <c r="CE11" s="259">
        <f t="shared" si="166"/>
        <v>1</v>
      </c>
      <c r="CF11" s="259">
        <f t="shared" si="167"/>
        <v>0</v>
      </c>
      <c r="CG11" s="259">
        <f t="shared" si="168"/>
        <v>0</v>
      </c>
      <c r="CH11" s="259">
        <f t="shared" si="169"/>
        <v>0</v>
      </c>
      <c r="CI11" s="259">
        <f t="shared" si="170"/>
        <v>4</v>
      </c>
      <c r="CJ11" s="259">
        <f t="shared" si="171"/>
        <v>0</v>
      </c>
      <c r="CK11" s="259">
        <f t="shared" si="172"/>
        <v>0</v>
      </c>
      <c r="CL11" s="259">
        <f t="shared" si="173"/>
        <v>0</v>
      </c>
      <c r="CM11" s="259">
        <f t="shared" si="174"/>
        <v>0</v>
      </c>
      <c r="CN11" s="259">
        <f t="shared" si="175"/>
        <v>0</v>
      </c>
      <c r="CO11" s="259">
        <f t="shared" si="176"/>
        <v>0</v>
      </c>
      <c r="CP11" s="259">
        <f t="shared" si="177"/>
        <v>0</v>
      </c>
      <c r="CQ11" s="259">
        <f t="shared" si="178"/>
        <v>0</v>
      </c>
      <c r="CR11" s="259"/>
      <c r="CS11" s="259"/>
      <c r="CT11" s="259"/>
      <c r="CU11" s="259"/>
      <c r="CV11" s="259"/>
      <c r="CW11" s="259">
        <f t="shared" si="179"/>
        <v>0</v>
      </c>
      <c r="CX11" s="259">
        <f t="shared" si="180"/>
        <v>0</v>
      </c>
      <c r="CY11" s="259">
        <f t="shared" si="181"/>
        <v>0</v>
      </c>
      <c r="CZ11" s="259">
        <f t="shared" si="182"/>
        <v>0</v>
      </c>
      <c r="DA11" s="259">
        <f t="shared" si="183"/>
        <v>0</v>
      </c>
      <c r="DB11" s="259">
        <f t="shared" si="184"/>
        <v>0</v>
      </c>
      <c r="DC11" s="259">
        <f t="shared" si="185"/>
        <v>1</v>
      </c>
      <c r="DD11" s="259">
        <f t="shared" si="186"/>
        <v>0</v>
      </c>
      <c r="DE11" s="259">
        <f t="shared" si="187"/>
        <v>1</v>
      </c>
      <c r="DF11" s="259">
        <f t="shared" si="188"/>
        <v>0</v>
      </c>
      <c r="DG11" s="259">
        <f t="shared" si="189"/>
        <v>0</v>
      </c>
      <c r="DH11" s="259">
        <f t="shared" si="190"/>
        <v>0</v>
      </c>
      <c r="DI11" s="259">
        <f t="shared" si="191"/>
        <v>0</v>
      </c>
      <c r="DJ11" s="259">
        <f t="shared" si="192"/>
        <v>0</v>
      </c>
      <c r="DK11" s="259">
        <f t="shared" si="193"/>
        <v>0</v>
      </c>
      <c r="DL11" s="259">
        <f t="shared" si="194"/>
        <v>0</v>
      </c>
      <c r="DM11" s="259">
        <f t="shared" si="195"/>
        <v>0</v>
      </c>
      <c r="DN11" s="259">
        <f t="shared" si="196"/>
        <v>0</v>
      </c>
      <c r="DO11" s="259">
        <f t="shared" si="197"/>
        <v>0</v>
      </c>
      <c r="DP11" s="259">
        <f t="shared" si="198"/>
        <v>0</v>
      </c>
      <c r="DQ11" s="259">
        <f t="shared" si="199"/>
        <v>0</v>
      </c>
      <c r="DR11" s="259">
        <f t="shared" si="200"/>
        <v>0</v>
      </c>
      <c r="DS11" s="259">
        <f t="shared" si="201"/>
        <v>0</v>
      </c>
      <c r="DT11" s="259">
        <f t="shared" si="202"/>
        <v>0</v>
      </c>
      <c r="DU11" s="259">
        <f t="shared" si="203"/>
        <v>0</v>
      </c>
      <c r="DV11" s="259">
        <f t="shared" si="204"/>
        <v>0</v>
      </c>
      <c r="DW11" s="259">
        <f t="shared" si="205"/>
        <v>0</v>
      </c>
      <c r="DX11" s="259">
        <f t="shared" si="206"/>
        <v>0</v>
      </c>
      <c r="DY11" s="259">
        <f t="shared" si="207"/>
        <v>0</v>
      </c>
      <c r="DZ11" s="259">
        <f t="shared" si="208"/>
        <v>0</v>
      </c>
      <c r="EA11" s="259">
        <f t="shared" si="209"/>
        <v>0</v>
      </c>
      <c r="EB11" s="259">
        <f t="shared" si="210"/>
        <v>0</v>
      </c>
      <c r="EC11" s="263">
        <f t="shared" si="211"/>
        <v>0</v>
      </c>
      <c r="ED11" s="259">
        <f t="shared" si="212"/>
        <v>0</v>
      </c>
      <c r="EE11" s="259">
        <f t="shared" si="213"/>
        <v>0</v>
      </c>
      <c r="EF11" s="259">
        <f t="shared" si="214"/>
        <v>0</v>
      </c>
      <c r="EG11" s="259">
        <f t="shared" si="215"/>
        <v>0</v>
      </c>
      <c r="EH11" s="259">
        <f t="shared" si="216"/>
        <v>0</v>
      </c>
      <c r="EI11" s="259">
        <f t="shared" si="217"/>
        <v>0</v>
      </c>
      <c r="EJ11" s="259">
        <f t="shared" si="114"/>
        <v>0</v>
      </c>
      <c r="EK11" s="259">
        <f t="shared" si="218"/>
        <v>0</v>
      </c>
      <c r="EL11" s="259">
        <f t="shared" si="219"/>
        <v>0</v>
      </c>
      <c r="EM11" s="259">
        <f t="shared" si="220"/>
        <v>0</v>
      </c>
      <c r="EN11" s="259">
        <f t="shared" si="221"/>
        <v>0</v>
      </c>
      <c r="EO11" s="259">
        <f t="shared" si="222"/>
        <v>0</v>
      </c>
      <c r="EP11" s="259"/>
      <c r="EQ11" s="259">
        <f t="shared" si="223"/>
        <v>0</v>
      </c>
      <c r="ER11" s="259">
        <f t="shared" si="224"/>
        <v>0</v>
      </c>
      <c r="ES11" s="259">
        <f t="shared" si="225"/>
        <v>0</v>
      </c>
      <c r="ET11" s="259">
        <f t="shared" si="226"/>
        <v>0</v>
      </c>
      <c r="EU11" s="259">
        <f t="shared" si="227"/>
        <v>0</v>
      </c>
      <c r="EV11" s="259">
        <f t="shared" si="228"/>
        <v>0</v>
      </c>
      <c r="EW11" s="259">
        <f t="shared" si="229"/>
        <v>0</v>
      </c>
      <c r="EX11" s="259">
        <f t="shared" si="230"/>
        <v>0</v>
      </c>
      <c r="EY11" s="259">
        <f t="shared" si="231"/>
        <v>0</v>
      </c>
      <c r="EZ11" s="259">
        <f t="shared" si="232"/>
        <v>0</v>
      </c>
      <c r="FA11" s="259"/>
      <c r="FB11" s="259"/>
      <c r="FC11" s="259"/>
      <c r="FD11" s="259"/>
      <c r="FE11" s="259"/>
      <c r="FF11" s="259">
        <f t="shared" si="233"/>
        <v>0</v>
      </c>
      <c r="FG11" s="259">
        <f t="shared" si="234"/>
        <v>0</v>
      </c>
      <c r="FH11" s="259">
        <f t="shared" si="235"/>
        <v>0</v>
      </c>
      <c r="FI11" s="259">
        <f t="shared" si="236"/>
        <v>0</v>
      </c>
      <c r="FL11" s="159" t="s">
        <v>146</v>
      </c>
      <c r="FM11" s="160" t="s">
        <v>147</v>
      </c>
    </row>
    <row r="12" spans="1:169" ht="15.75" thickBot="1" x14ac:dyDescent="0.3">
      <c r="A12" s="304">
        <v>10</v>
      </c>
      <c r="B12" s="299" t="s">
        <v>4</v>
      </c>
      <c r="C12" s="300" t="s">
        <v>3</v>
      </c>
      <c r="D12" s="299"/>
      <c r="E12" s="301"/>
      <c r="F12" s="301"/>
      <c r="G12" s="301"/>
      <c r="H12" s="299"/>
      <c r="I12" s="299"/>
      <c r="J12" s="299"/>
      <c r="K12" s="301"/>
      <c r="L12" s="302"/>
      <c r="M12" s="301" t="s">
        <v>150</v>
      </c>
      <c r="N12" s="303"/>
      <c r="O12" s="302">
        <v>42999</v>
      </c>
      <c r="P12" s="259"/>
      <c r="Q12" s="191">
        <f>SUM(Y63,Y83,Y69)</f>
        <v>0</v>
      </c>
      <c r="R12" s="98" t="s">
        <v>33</v>
      </c>
      <c r="S12" s="82" t="s">
        <v>67</v>
      </c>
      <c r="U12" s="98" t="s">
        <v>3</v>
      </c>
      <c r="V12" s="99"/>
      <c r="X12" s="94"/>
      <c r="Y12" s="97"/>
      <c r="Z12" s="135">
        <f>SUM(AI14:AK14,AM14:AN14,AP14:AU14,AW14:BC14)</f>
        <v>0</v>
      </c>
      <c r="AA12" s="135">
        <f>SUM(BI14:CD14,CF14:CO14,CQ14)</f>
        <v>0</v>
      </c>
      <c r="AB12" s="135">
        <f t="shared" si="78"/>
        <v>6</v>
      </c>
      <c r="AC12" s="135">
        <f>SUM(EQ14:EX14,EZ14)</f>
        <v>0</v>
      </c>
      <c r="AD12" s="135">
        <f>SUM(FF14:FH14)</f>
        <v>0</v>
      </c>
      <c r="AF12" s="159" t="s">
        <v>149</v>
      </c>
      <c r="AG12" s="160" t="s">
        <v>150</v>
      </c>
      <c r="AH12" s="114">
        <f>SUM(AI12:AK12,AM12:AN12,AP12:AU12,AW12:BC12,BI12:CD12,CF12:CO12,CQ12,CW12:CZ12,DB12:DD12,DF12:EH12,EK12,EL12:EN12,EQ12:EX12,EZ12,FF12:FH12)</f>
        <v>66</v>
      </c>
      <c r="AI12" s="259">
        <f t="shared" si="122"/>
        <v>3</v>
      </c>
      <c r="AJ12" s="259">
        <f t="shared" si="123"/>
        <v>0</v>
      </c>
      <c r="AK12" s="259">
        <f t="shared" si="124"/>
        <v>0</v>
      </c>
      <c r="AL12" s="136">
        <f t="shared" si="125"/>
        <v>3</v>
      </c>
      <c r="AM12" s="259">
        <f t="shared" si="126"/>
        <v>2</v>
      </c>
      <c r="AN12" s="259">
        <f t="shared" si="127"/>
        <v>0</v>
      </c>
      <c r="AO12" s="259">
        <f t="shared" si="128"/>
        <v>2</v>
      </c>
      <c r="AP12" s="259">
        <f t="shared" si="129"/>
        <v>0</v>
      </c>
      <c r="AQ12" s="259">
        <f t="shared" si="130"/>
        <v>0</v>
      </c>
      <c r="AR12" s="259">
        <f t="shared" si="131"/>
        <v>0</v>
      </c>
      <c r="AS12" s="259">
        <f t="shared" si="132"/>
        <v>0</v>
      </c>
      <c r="AT12" s="259">
        <f t="shared" si="133"/>
        <v>0</v>
      </c>
      <c r="AU12" s="259">
        <f t="shared" si="134"/>
        <v>0</v>
      </c>
      <c r="AV12" s="259">
        <f t="shared" si="135"/>
        <v>0</v>
      </c>
      <c r="AW12" s="259">
        <f t="shared" si="136"/>
        <v>0</v>
      </c>
      <c r="AX12" s="259">
        <f t="shared" si="137"/>
        <v>0</v>
      </c>
      <c r="AY12" s="259">
        <f t="shared" si="138"/>
        <v>0</v>
      </c>
      <c r="AZ12" s="259">
        <f t="shared" si="139"/>
        <v>0</v>
      </c>
      <c r="BA12" s="259">
        <f t="shared" si="140"/>
        <v>0</v>
      </c>
      <c r="BB12" s="259">
        <f t="shared" si="141"/>
        <v>7</v>
      </c>
      <c r="BC12" s="263">
        <f t="shared" si="142"/>
        <v>0</v>
      </c>
      <c r="BD12" s="259">
        <f t="shared" si="143"/>
        <v>7</v>
      </c>
      <c r="BE12" s="259"/>
      <c r="BF12" s="259"/>
      <c r="BG12" s="259"/>
      <c r="BH12" s="259"/>
      <c r="BI12" s="259">
        <f t="shared" si="144"/>
        <v>0</v>
      </c>
      <c r="BJ12" s="259">
        <f t="shared" si="145"/>
        <v>0</v>
      </c>
      <c r="BK12" s="259">
        <f t="shared" si="146"/>
        <v>0</v>
      </c>
      <c r="BL12" s="259">
        <f t="shared" si="147"/>
        <v>0</v>
      </c>
      <c r="BM12" s="259">
        <f t="shared" si="148"/>
        <v>0</v>
      </c>
      <c r="BN12" s="259">
        <f t="shared" si="149"/>
        <v>0</v>
      </c>
      <c r="BO12" s="259">
        <f t="shared" si="150"/>
        <v>0</v>
      </c>
      <c r="BP12" s="259">
        <f t="shared" si="151"/>
        <v>0</v>
      </c>
      <c r="BQ12" s="259">
        <f t="shared" si="152"/>
        <v>0</v>
      </c>
      <c r="BR12" s="259">
        <f t="shared" si="153"/>
        <v>0</v>
      </c>
      <c r="BS12" s="259">
        <f t="shared" si="154"/>
        <v>21</v>
      </c>
      <c r="BT12" s="259">
        <f t="shared" si="155"/>
        <v>0</v>
      </c>
      <c r="BU12" s="259">
        <f t="shared" si="156"/>
        <v>0</v>
      </c>
      <c r="BV12" s="259">
        <f t="shared" si="157"/>
        <v>0</v>
      </c>
      <c r="BW12" s="259">
        <f t="shared" si="158"/>
        <v>0</v>
      </c>
      <c r="BX12" s="259">
        <f t="shared" si="159"/>
        <v>0</v>
      </c>
      <c r="BY12" s="259">
        <f t="shared" si="160"/>
        <v>0</v>
      </c>
      <c r="BZ12" s="259">
        <f t="shared" si="161"/>
        <v>0</v>
      </c>
      <c r="CA12" s="259">
        <f t="shared" si="162"/>
        <v>0</v>
      </c>
      <c r="CB12" s="259">
        <f t="shared" si="163"/>
        <v>0</v>
      </c>
      <c r="CC12" s="259">
        <f t="shared" si="164"/>
        <v>0</v>
      </c>
      <c r="CD12" s="259">
        <f t="shared" si="165"/>
        <v>0</v>
      </c>
      <c r="CE12" s="259">
        <f t="shared" si="166"/>
        <v>21</v>
      </c>
      <c r="CF12" s="259">
        <f t="shared" si="167"/>
        <v>0</v>
      </c>
      <c r="CG12" s="259">
        <f t="shared" si="168"/>
        <v>0</v>
      </c>
      <c r="CH12" s="259">
        <f t="shared" si="169"/>
        <v>0</v>
      </c>
      <c r="CI12" s="259">
        <f t="shared" si="170"/>
        <v>4</v>
      </c>
      <c r="CJ12" s="259">
        <f t="shared" si="171"/>
        <v>0</v>
      </c>
      <c r="CK12" s="259">
        <f t="shared" si="172"/>
        <v>0</v>
      </c>
      <c r="CL12" s="259">
        <f t="shared" si="173"/>
        <v>0</v>
      </c>
      <c r="CM12" s="259">
        <f t="shared" si="174"/>
        <v>0</v>
      </c>
      <c r="CN12" s="259">
        <f t="shared" si="175"/>
        <v>0</v>
      </c>
      <c r="CO12" s="259">
        <f t="shared" si="176"/>
        <v>0</v>
      </c>
      <c r="CP12" s="259">
        <f t="shared" si="177"/>
        <v>0</v>
      </c>
      <c r="CQ12" s="259">
        <f t="shared" si="178"/>
        <v>5</v>
      </c>
      <c r="CR12" s="259"/>
      <c r="CS12" s="259"/>
      <c r="CT12" s="259"/>
      <c r="CU12" s="259"/>
      <c r="CV12" s="259"/>
      <c r="CW12" s="259">
        <f t="shared" si="179"/>
        <v>3</v>
      </c>
      <c r="CX12" s="259">
        <f t="shared" si="180"/>
        <v>0</v>
      </c>
      <c r="CY12" s="259">
        <f t="shared" si="181"/>
        <v>0</v>
      </c>
      <c r="CZ12" s="259">
        <f t="shared" si="182"/>
        <v>0</v>
      </c>
      <c r="DA12" s="259">
        <f t="shared" si="183"/>
        <v>0</v>
      </c>
      <c r="DB12" s="259">
        <f t="shared" si="184"/>
        <v>0</v>
      </c>
      <c r="DC12" s="259">
        <f t="shared" si="185"/>
        <v>0</v>
      </c>
      <c r="DD12" s="259">
        <f t="shared" si="186"/>
        <v>0</v>
      </c>
      <c r="DE12" s="259">
        <f t="shared" si="187"/>
        <v>0</v>
      </c>
      <c r="DF12" s="259">
        <f t="shared" si="188"/>
        <v>0</v>
      </c>
      <c r="DG12" s="259">
        <f t="shared" si="189"/>
        <v>0</v>
      </c>
      <c r="DH12" s="259">
        <f t="shared" si="190"/>
        <v>0</v>
      </c>
      <c r="DI12" s="259">
        <f t="shared" si="191"/>
        <v>0</v>
      </c>
      <c r="DJ12" s="259">
        <f t="shared" si="192"/>
        <v>0</v>
      </c>
      <c r="DK12" s="259">
        <f t="shared" si="193"/>
        <v>0</v>
      </c>
      <c r="DL12" s="259">
        <f t="shared" si="194"/>
        <v>0</v>
      </c>
      <c r="DM12" s="259">
        <f t="shared" si="195"/>
        <v>0</v>
      </c>
      <c r="DN12" s="259">
        <f t="shared" si="196"/>
        <v>0</v>
      </c>
      <c r="DO12" s="259">
        <f t="shared" si="197"/>
        <v>0</v>
      </c>
      <c r="DP12" s="259">
        <f t="shared" si="198"/>
        <v>0</v>
      </c>
      <c r="DQ12" s="259">
        <f t="shared" si="199"/>
        <v>0</v>
      </c>
      <c r="DR12" s="259">
        <f t="shared" si="200"/>
        <v>0</v>
      </c>
      <c r="DS12" s="259">
        <f t="shared" si="201"/>
        <v>0</v>
      </c>
      <c r="DT12" s="259">
        <f t="shared" si="202"/>
        <v>0</v>
      </c>
      <c r="DU12" s="259">
        <f t="shared" si="203"/>
        <v>0</v>
      </c>
      <c r="DV12" s="259">
        <f t="shared" si="204"/>
        <v>0</v>
      </c>
      <c r="DW12" s="259">
        <f t="shared" si="205"/>
        <v>0</v>
      </c>
      <c r="DX12" s="259">
        <f t="shared" si="206"/>
        <v>0</v>
      </c>
      <c r="DY12" s="259">
        <f t="shared" si="207"/>
        <v>3</v>
      </c>
      <c r="DZ12" s="259">
        <f t="shared" si="208"/>
        <v>0</v>
      </c>
      <c r="EA12" s="259">
        <f t="shared" si="209"/>
        <v>0</v>
      </c>
      <c r="EB12" s="259">
        <f t="shared" si="210"/>
        <v>0</v>
      </c>
      <c r="EC12" s="263">
        <f t="shared" si="211"/>
        <v>0</v>
      </c>
      <c r="ED12" s="259">
        <f t="shared" si="212"/>
        <v>0</v>
      </c>
      <c r="EE12" s="259">
        <f t="shared" si="213"/>
        <v>0</v>
      </c>
      <c r="EF12" s="259">
        <f t="shared" si="214"/>
        <v>0</v>
      </c>
      <c r="EG12" s="259">
        <f t="shared" si="215"/>
        <v>0</v>
      </c>
      <c r="EH12" s="259">
        <f t="shared" si="216"/>
        <v>0</v>
      </c>
      <c r="EI12" s="259">
        <f t="shared" si="217"/>
        <v>3</v>
      </c>
      <c r="EJ12" s="259">
        <f t="shared" si="114"/>
        <v>0</v>
      </c>
      <c r="EK12" s="259">
        <f t="shared" si="218"/>
        <v>0</v>
      </c>
      <c r="EL12" s="259">
        <f t="shared" si="219"/>
        <v>0</v>
      </c>
      <c r="EM12" s="259">
        <f t="shared" si="220"/>
        <v>0</v>
      </c>
      <c r="EN12" s="259">
        <f t="shared" si="221"/>
        <v>0</v>
      </c>
      <c r="EO12" s="259">
        <f t="shared" si="222"/>
        <v>0</v>
      </c>
      <c r="EP12" s="259"/>
      <c r="EQ12" s="259">
        <f t="shared" si="223"/>
        <v>0</v>
      </c>
      <c r="ER12" s="259">
        <f t="shared" si="224"/>
        <v>0</v>
      </c>
      <c r="ES12" s="259">
        <f t="shared" si="225"/>
        <v>0</v>
      </c>
      <c r="ET12" s="259">
        <f t="shared" si="226"/>
        <v>0</v>
      </c>
      <c r="EU12" s="259">
        <f t="shared" si="227"/>
        <v>6</v>
      </c>
      <c r="EV12" s="259">
        <f t="shared" si="228"/>
        <v>0</v>
      </c>
      <c r="EW12" s="259">
        <f t="shared" si="229"/>
        <v>0</v>
      </c>
      <c r="EX12" s="259">
        <f t="shared" si="230"/>
        <v>0</v>
      </c>
      <c r="EY12" s="259">
        <f t="shared" si="231"/>
        <v>0</v>
      </c>
      <c r="EZ12" s="259">
        <f t="shared" si="232"/>
        <v>0</v>
      </c>
      <c r="FA12" s="259"/>
      <c r="FB12" s="259"/>
      <c r="FC12" s="259"/>
      <c r="FD12" s="259"/>
      <c r="FE12" s="259"/>
      <c r="FF12" s="259">
        <f t="shared" si="233"/>
        <v>4</v>
      </c>
      <c r="FG12" s="259">
        <f t="shared" si="234"/>
        <v>8</v>
      </c>
      <c r="FH12" s="259">
        <f t="shared" si="235"/>
        <v>0</v>
      </c>
      <c r="FI12" s="259">
        <f t="shared" si="236"/>
        <v>8</v>
      </c>
      <c r="FL12" s="159" t="s">
        <v>149</v>
      </c>
      <c r="FM12" s="160" t="s">
        <v>150</v>
      </c>
    </row>
    <row r="13" spans="1:169" ht="15.75" thickBot="1" x14ac:dyDescent="0.3">
      <c r="A13" s="304">
        <v>11</v>
      </c>
      <c r="B13" s="299" t="s">
        <v>4</v>
      </c>
      <c r="C13" s="300" t="s">
        <v>3</v>
      </c>
      <c r="D13" s="299"/>
      <c r="E13" s="301"/>
      <c r="F13" s="301"/>
      <c r="G13" s="301"/>
      <c r="H13" s="299"/>
      <c r="I13" s="299"/>
      <c r="J13" s="299"/>
      <c r="K13" s="301"/>
      <c r="L13" s="302"/>
      <c r="M13" s="301" t="s">
        <v>150</v>
      </c>
      <c r="N13" s="303"/>
      <c r="O13" s="302">
        <v>42999</v>
      </c>
      <c r="P13" s="259"/>
      <c r="Q13" s="191">
        <f>SUM(Y67,Y66,Y71,Y84)</f>
        <v>24</v>
      </c>
      <c r="R13" s="98" t="s">
        <v>34</v>
      </c>
      <c r="S13" s="82" t="s">
        <v>257</v>
      </c>
      <c r="U13" s="98" t="s">
        <v>59</v>
      </c>
      <c r="V13" s="99"/>
      <c r="Y13" s="97"/>
      <c r="Z13" s="135">
        <f>SUM(AI15:AK15,AM15:AN15,AP15:AU15,AW15:BC15)</f>
        <v>0</v>
      </c>
      <c r="AA13" s="135">
        <f>SUM(BI15:CD15,CF15:CO15,CQ15)</f>
        <v>0</v>
      </c>
      <c r="AB13" s="135">
        <f t="shared" si="78"/>
        <v>0</v>
      </c>
      <c r="AC13" s="135">
        <f>SUM(EQ15:EX15,EZ15)</f>
        <v>0</v>
      </c>
      <c r="AD13" s="135">
        <f>SUM(FF15:FH15)</f>
        <v>0</v>
      </c>
      <c r="AF13" s="159" t="s">
        <v>779</v>
      </c>
      <c r="AG13" s="160" t="s">
        <v>287</v>
      </c>
      <c r="AH13" s="191">
        <f>SUM(AI13:AK13,AM13:AN13,AP13:AU13,AW13:BC13,BI13:CD13,CF13:CO13,CQ13,CW13:CZ13,DB13:DD13,DF13:EH13,EK13,EL13:EN13,EQ13:EX13,EZ13,FF13:FH13)</f>
        <v>0</v>
      </c>
      <c r="AI13" s="259">
        <f t="shared" si="122"/>
        <v>0</v>
      </c>
      <c r="AJ13" s="259">
        <f t="shared" si="123"/>
        <v>0</v>
      </c>
      <c r="AK13" s="259">
        <f t="shared" si="124"/>
        <v>0</v>
      </c>
      <c r="AL13" s="136">
        <f t="shared" si="125"/>
        <v>0</v>
      </c>
      <c r="AM13" s="259">
        <f t="shared" si="126"/>
        <v>0</v>
      </c>
      <c r="AN13" s="259">
        <f t="shared" si="127"/>
        <v>0</v>
      </c>
      <c r="AO13" s="259">
        <f t="shared" si="128"/>
        <v>0</v>
      </c>
      <c r="AP13" s="259">
        <f t="shared" si="129"/>
        <v>0</v>
      </c>
      <c r="AQ13" s="259">
        <f t="shared" si="130"/>
        <v>0</v>
      </c>
      <c r="AR13" s="259">
        <f t="shared" si="131"/>
        <v>0</v>
      </c>
      <c r="AS13" s="259">
        <f t="shared" si="132"/>
        <v>0</v>
      </c>
      <c r="AT13" s="259">
        <f t="shared" si="133"/>
        <v>0</v>
      </c>
      <c r="AU13" s="259">
        <f t="shared" si="134"/>
        <v>0</v>
      </c>
      <c r="AV13" s="259">
        <f t="shared" si="135"/>
        <v>0</v>
      </c>
      <c r="AW13" s="259">
        <f t="shared" si="136"/>
        <v>0</v>
      </c>
      <c r="AX13" s="259">
        <f t="shared" si="137"/>
        <v>0</v>
      </c>
      <c r="AY13" s="259">
        <f t="shared" si="138"/>
        <v>0</v>
      </c>
      <c r="AZ13" s="259">
        <f t="shared" si="139"/>
        <v>0</v>
      </c>
      <c r="BA13" s="259">
        <f t="shared" si="140"/>
        <v>0</v>
      </c>
      <c r="BB13" s="259">
        <f t="shared" si="141"/>
        <v>0</v>
      </c>
      <c r="BC13" s="263">
        <f t="shared" si="142"/>
        <v>0</v>
      </c>
      <c r="BD13" s="259">
        <f t="shared" si="143"/>
        <v>0</v>
      </c>
      <c r="BE13" s="259"/>
      <c r="BF13" s="259"/>
      <c r="BG13" s="259"/>
      <c r="BH13" s="259"/>
      <c r="BI13" s="259">
        <f t="shared" si="144"/>
        <v>0</v>
      </c>
      <c r="BJ13" s="259">
        <f t="shared" si="145"/>
        <v>0</v>
      </c>
      <c r="BK13" s="259">
        <f t="shared" si="146"/>
        <v>0</v>
      </c>
      <c r="BL13" s="259">
        <f t="shared" si="147"/>
        <v>0</v>
      </c>
      <c r="BM13" s="259">
        <f t="shared" si="148"/>
        <v>0</v>
      </c>
      <c r="BN13" s="259">
        <f t="shared" si="149"/>
        <v>0</v>
      </c>
      <c r="BO13" s="259">
        <f t="shared" si="150"/>
        <v>0</v>
      </c>
      <c r="BP13" s="259">
        <f t="shared" si="151"/>
        <v>0</v>
      </c>
      <c r="BQ13" s="259">
        <f t="shared" si="152"/>
        <v>0</v>
      </c>
      <c r="BR13" s="259">
        <f t="shared" si="153"/>
        <v>0</v>
      </c>
      <c r="BS13" s="259">
        <f t="shared" si="154"/>
        <v>0</v>
      </c>
      <c r="BT13" s="259">
        <f t="shared" si="155"/>
        <v>0</v>
      </c>
      <c r="BU13" s="259">
        <f t="shared" si="156"/>
        <v>0</v>
      </c>
      <c r="BV13" s="259">
        <f t="shared" si="157"/>
        <v>0</v>
      </c>
      <c r="BW13" s="259">
        <f t="shared" si="158"/>
        <v>0</v>
      </c>
      <c r="BX13" s="259">
        <f t="shared" si="159"/>
        <v>0</v>
      </c>
      <c r="BY13" s="259">
        <f t="shared" si="160"/>
        <v>0</v>
      </c>
      <c r="BZ13" s="259">
        <f t="shared" si="161"/>
        <v>0</v>
      </c>
      <c r="CA13" s="259">
        <f t="shared" si="162"/>
        <v>0</v>
      </c>
      <c r="CB13" s="259">
        <f t="shared" si="163"/>
        <v>0</v>
      </c>
      <c r="CC13" s="259">
        <f t="shared" si="164"/>
        <v>0</v>
      </c>
      <c r="CD13" s="259">
        <f t="shared" si="165"/>
        <v>0</v>
      </c>
      <c r="CE13" s="259">
        <f t="shared" si="166"/>
        <v>0</v>
      </c>
      <c r="CF13" s="259">
        <f t="shared" si="167"/>
        <v>0</v>
      </c>
      <c r="CG13" s="259">
        <f t="shared" si="168"/>
        <v>0</v>
      </c>
      <c r="CH13" s="259">
        <f t="shared" si="169"/>
        <v>0</v>
      </c>
      <c r="CI13" s="259">
        <f t="shared" si="170"/>
        <v>0</v>
      </c>
      <c r="CJ13" s="259">
        <f t="shared" si="171"/>
        <v>0</v>
      </c>
      <c r="CK13" s="259">
        <f t="shared" si="172"/>
        <v>0</v>
      </c>
      <c r="CL13" s="259">
        <f t="shared" si="173"/>
        <v>0</v>
      </c>
      <c r="CM13" s="259">
        <f t="shared" si="174"/>
        <v>0</v>
      </c>
      <c r="CN13" s="259">
        <f t="shared" si="175"/>
        <v>0</v>
      </c>
      <c r="CO13" s="259">
        <f t="shared" si="176"/>
        <v>0</v>
      </c>
      <c r="CP13" s="259">
        <f t="shared" si="177"/>
        <v>0</v>
      </c>
      <c r="CQ13" s="259">
        <f t="shared" si="178"/>
        <v>0</v>
      </c>
      <c r="CR13" s="259"/>
      <c r="CS13" s="259"/>
      <c r="CT13" s="259"/>
      <c r="CU13" s="259"/>
      <c r="CV13" s="259"/>
      <c r="CW13" s="259">
        <f t="shared" si="179"/>
        <v>0</v>
      </c>
      <c r="CX13" s="259">
        <f t="shared" si="180"/>
        <v>0</v>
      </c>
      <c r="CY13" s="259">
        <f t="shared" si="181"/>
        <v>0</v>
      </c>
      <c r="CZ13" s="259">
        <f t="shared" si="182"/>
        <v>0</v>
      </c>
      <c r="DA13" s="259">
        <f t="shared" si="183"/>
        <v>0</v>
      </c>
      <c r="DB13" s="259">
        <f t="shared" si="184"/>
        <v>0</v>
      </c>
      <c r="DC13" s="259">
        <f t="shared" si="185"/>
        <v>0</v>
      </c>
      <c r="DD13" s="259">
        <f t="shared" si="186"/>
        <v>0</v>
      </c>
      <c r="DE13" s="259">
        <f t="shared" si="187"/>
        <v>0</v>
      </c>
      <c r="DF13" s="259">
        <f t="shared" si="188"/>
        <v>0</v>
      </c>
      <c r="DG13" s="259">
        <f t="shared" si="189"/>
        <v>0</v>
      </c>
      <c r="DH13" s="259">
        <f t="shared" si="190"/>
        <v>0</v>
      </c>
      <c r="DI13" s="259">
        <f t="shared" si="191"/>
        <v>0</v>
      </c>
      <c r="DJ13" s="259">
        <f t="shared" si="192"/>
        <v>0</v>
      </c>
      <c r="DK13" s="259">
        <f t="shared" si="193"/>
        <v>0</v>
      </c>
      <c r="DL13" s="259">
        <f t="shared" si="194"/>
        <v>0</v>
      </c>
      <c r="DM13" s="259">
        <f t="shared" si="195"/>
        <v>0</v>
      </c>
      <c r="DN13" s="259">
        <f t="shared" si="196"/>
        <v>0</v>
      </c>
      <c r="DO13" s="259">
        <f t="shared" si="197"/>
        <v>0</v>
      </c>
      <c r="DP13" s="259">
        <f t="shared" si="198"/>
        <v>0</v>
      </c>
      <c r="DQ13" s="259">
        <f t="shared" si="199"/>
        <v>0</v>
      </c>
      <c r="DR13" s="259">
        <f t="shared" si="200"/>
        <v>0</v>
      </c>
      <c r="DS13" s="259">
        <f t="shared" si="201"/>
        <v>0</v>
      </c>
      <c r="DT13" s="259">
        <f t="shared" si="202"/>
        <v>0</v>
      </c>
      <c r="DU13" s="259">
        <f t="shared" si="203"/>
        <v>0</v>
      </c>
      <c r="DV13" s="259">
        <f t="shared" si="204"/>
        <v>0</v>
      </c>
      <c r="DW13" s="259">
        <f t="shared" si="205"/>
        <v>0</v>
      </c>
      <c r="DX13" s="259">
        <f t="shared" si="206"/>
        <v>0</v>
      </c>
      <c r="DY13" s="259">
        <f t="shared" si="207"/>
        <v>0</v>
      </c>
      <c r="DZ13" s="259">
        <f t="shared" si="208"/>
        <v>0</v>
      </c>
      <c r="EA13" s="259">
        <f t="shared" si="209"/>
        <v>0</v>
      </c>
      <c r="EB13" s="259">
        <f t="shared" si="210"/>
        <v>0</v>
      </c>
      <c r="EC13" s="263">
        <f t="shared" si="211"/>
        <v>0</v>
      </c>
      <c r="ED13" s="259">
        <f t="shared" si="212"/>
        <v>0</v>
      </c>
      <c r="EE13" s="259">
        <f t="shared" si="213"/>
        <v>0</v>
      </c>
      <c r="EF13" s="259">
        <f t="shared" si="214"/>
        <v>0</v>
      </c>
      <c r="EG13" s="259">
        <f t="shared" si="215"/>
        <v>0</v>
      </c>
      <c r="EH13" s="259">
        <f t="shared" si="216"/>
        <v>0</v>
      </c>
      <c r="EI13" s="259">
        <f t="shared" si="217"/>
        <v>0</v>
      </c>
      <c r="EJ13" s="259">
        <f t="shared" si="114"/>
        <v>0</v>
      </c>
      <c r="EK13" s="259">
        <f t="shared" si="218"/>
        <v>0</v>
      </c>
      <c r="EL13" s="259">
        <f t="shared" si="219"/>
        <v>0</v>
      </c>
      <c r="EM13" s="259">
        <f t="shared" si="220"/>
        <v>0</v>
      </c>
      <c r="EN13" s="259">
        <f t="shared" si="221"/>
        <v>0</v>
      </c>
      <c r="EO13" s="259">
        <f t="shared" si="222"/>
        <v>0</v>
      </c>
      <c r="EP13" s="259"/>
      <c r="EQ13" s="259">
        <f t="shared" si="223"/>
        <v>0</v>
      </c>
      <c r="ER13" s="259">
        <f t="shared" si="224"/>
        <v>0</v>
      </c>
      <c r="ES13" s="259">
        <f t="shared" si="225"/>
        <v>0</v>
      </c>
      <c r="ET13" s="259">
        <f t="shared" si="226"/>
        <v>0</v>
      </c>
      <c r="EU13" s="259">
        <f t="shared" si="227"/>
        <v>0</v>
      </c>
      <c r="EV13" s="259">
        <f t="shared" si="228"/>
        <v>0</v>
      </c>
      <c r="EW13" s="259">
        <f t="shared" si="229"/>
        <v>0</v>
      </c>
      <c r="EX13" s="259">
        <f t="shared" si="230"/>
        <v>0</v>
      </c>
      <c r="EY13" s="259">
        <f t="shared" si="231"/>
        <v>0</v>
      </c>
      <c r="EZ13" s="259">
        <f t="shared" si="232"/>
        <v>0</v>
      </c>
      <c r="FA13" s="259"/>
      <c r="FB13" s="259"/>
      <c r="FC13" s="259"/>
      <c r="FD13" s="259"/>
      <c r="FE13" s="259"/>
      <c r="FF13" s="259">
        <f t="shared" si="233"/>
        <v>0</v>
      </c>
      <c r="FG13" s="259">
        <f t="shared" si="234"/>
        <v>0</v>
      </c>
      <c r="FH13" s="259">
        <f t="shared" si="235"/>
        <v>0</v>
      </c>
      <c r="FI13" s="259">
        <f t="shared" si="236"/>
        <v>0</v>
      </c>
      <c r="FL13" s="159" t="s">
        <v>779</v>
      </c>
      <c r="FM13" s="160" t="s">
        <v>287</v>
      </c>
    </row>
    <row r="14" spans="1:169" ht="15.75" thickBot="1" x14ac:dyDescent="0.3">
      <c r="A14" s="304">
        <v>12</v>
      </c>
      <c r="B14" s="299" t="s">
        <v>4</v>
      </c>
      <c r="C14" s="300" t="s">
        <v>5</v>
      </c>
      <c r="D14" s="299"/>
      <c r="E14" s="301"/>
      <c r="F14" s="301"/>
      <c r="G14" s="301"/>
      <c r="H14" s="299"/>
      <c r="I14" s="299"/>
      <c r="J14" s="299"/>
      <c r="K14" s="301"/>
      <c r="L14" s="302"/>
      <c r="M14" s="301" t="s">
        <v>150</v>
      </c>
      <c r="N14" s="303"/>
      <c r="O14" s="302">
        <v>42984</v>
      </c>
      <c r="P14" s="259"/>
      <c r="Q14" s="191">
        <f>SUM(Y56,Y75)</f>
        <v>0</v>
      </c>
      <c r="R14" s="98" t="s">
        <v>35</v>
      </c>
      <c r="S14" s="82" t="s">
        <v>259</v>
      </c>
      <c r="Y14" s="97"/>
      <c r="Z14" s="135">
        <f>SUM(AI16:AK16,AM16:AN16,AP16:AU16,AW16:BC16)</f>
        <v>0</v>
      </c>
      <c r="AA14" s="135">
        <f>SUM(BI16:CD16,CF16:CO16,CQ16)</f>
        <v>0</v>
      </c>
      <c r="AB14" s="135">
        <f t="shared" si="78"/>
        <v>0</v>
      </c>
      <c r="AC14" s="135">
        <f>SUM(EQ16:EX16,EZ16)</f>
        <v>0</v>
      </c>
      <c r="AD14" s="135">
        <f>SUM(FF16:FH16)</f>
        <v>0</v>
      </c>
      <c r="AF14" s="159" t="s">
        <v>151</v>
      </c>
      <c r="AG14" s="160" t="s">
        <v>152</v>
      </c>
      <c r="AH14" s="114">
        <f>SUM(AI14:AK14,AM14:AN14,AP14:AU14,AW14:BC14,BI14:CD14,CF14:CO14,CQ14,CW14:CZ14,DB14:DD14,DF14:EH14,EK14,EL14:EN14,EQ14:EX14,EZ14,FF14:FH14)</f>
        <v>0</v>
      </c>
      <c r="AI14" s="259">
        <f t="shared" si="122"/>
        <v>0</v>
      </c>
      <c r="AJ14" s="259">
        <f t="shared" si="123"/>
        <v>0</v>
      </c>
      <c r="AK14" s="259">
        <f t="shared" si="124"/>
        <v>0</v>
      </c>
      <c r="AL14" s="136">
        <f t="shared" si="125"/>
        <v>0</v>
      </c>
      <c r="AM14" s="259">
        <f t="shared" si="126"/>
        <v>0</v>
      </c>
      <c r="AN14" s="259">
        <f t="shared" si="127"/>
        <v>0</v>
      </c>
      <c r="AO14" s="259">
        <f t="shared" si="128"/>
        <v>0</v>
      </c>
      <c r="AP14" s="259">
        <f t="shared" si="129"/>
        <v>0</v>
      </c>
      <c r="AQ14" s="259">
        <f t="shared" si="130"/>
        <v>0</v>
      </c>
      <c r="AR14" s="259">
        <f t="shared" si="131"/>
        <v>0</v>
      </c>
      <c r="AS14" s="259">
        <f t="shared" si="132"/>
        <v>0</v>
      </c>
      <c r="AT14" s="259">
        <f t="shared" si="133"/>
        <v>0</v>
      </c>
      <c r="AU14" s="259">
        <f t="shared" si="134"/>
        <v>0</v>
      </c>
      <c r="AV14" s="259">
        <f t="shared" si="135"/>
        <v>0</v>
      </c>
      <c r="AW14" s="259">
        <f t="shared" si="136"/>
        <v>0</v>
      </c>
      <c r="AX14" s="259">
        <f t="shared" si="137"/>
        <v>0</v>
      </c>
      <c r="AY14" s="259">
        <f t="shared" si="138"/>
        <v>0</v>
      </c>
      <c r="AZ14" s="259">
        <f t="shared" si="139"/>
        <v>0</v>
      </c>
      <c r="BA14" s="259">
        <f t="shared" si="140"/>
        <v>0</v>
      </c>
      <c r="BB14" s="259">
        <f t="shared" si="141"/>
        <v>0</v>
      </c>
      <c r="BC14" s="263">
        <f t="shared" si="142"/>
        <v>0</v>
      </c>
      <c r="BD14" s="259">
        <f t="shared" si="143"/>
        <v>0</v>
      </c>
      <c r="BE14" s="259"/>
      <c r="BF14" s="259"/>
      <c r="BG14" s="259"/>
      <c r="BH14" s="259"/>
      <c r="BI14" s="259">
        <f t="shared" si="144"/>
        <v>0</v>
      </c>
      <c r="BJ14" s="259">
        <f t="shared" si="145"/>
        <v>0</v>
      </c>
      <c r="BK14" s="259">
        <f t="shared" si="146"/>
        <v>0</v>
      </c>
      <c r="BL14" s="259">
        <f t="shared" si="147"/>
        <v>0</v>
      </c>
      <c r="BM14" s="259">
        <f t="shared" si="148"/>
        <v>0</v>
      </c>
      <c r="BN14" s="259">
        <f t="shared" si="149"/>
        <v>0</v>
      </c>
      <c r="BO14" s="259">
        <f t="shared" si="150"/>
        <v>0</v>
      </c>
      <c r="BP14" s="259">
        <f t="shared" si="151"/>
        <v>0</v>
      </c>
      <c r="BQ14" s="259">
        <f t="shared" si="152"/>
        <v>0</v>
      </c>
      <c r="BR14" s="259">
        <f t="shared" si="153"/>
        <v>0</v>
      </c>
      <c r="BS14" s="259">
        <f t="shared" si="154"/>
        <v>0</v>
      </c>
      <c r="BT14" s="259">
        <f t="shared" si="155"/>
        <v>0</v>
      </c>
      <c r="BU14" s="259">
        <f t="shared" si="156"/>
        <v>0</v>
      </c>
      <c r="BV14" s="259">
        <f t="shared" si="157"/>
        <v>0</v>
      </c>
      <c r="BW14" s="259">
        <f t="shared" si="158"/>
        <v>0</v>
      </c>
      <c r="BX14" s="259">
        <f t="shared" si="159"/>
        <v>0</v>
      </c>
      <c r="BY14" s="259">
        <f t="shared" si="160"/>
        <v>0</v>
      </c>
      <c r="BZ14" s="259">
        <f t="shared" si="161"/>
        <v>0</v>
      </c>
      <c r="CA14" s="259">
        <f t="shared" si="162"/>
        <v>0</v>
      </c>
      <c r="CB14" s="259">
        <f t="shared" si="163"/>
        <v>0</v>
      </c>
      <c r="CC14" s="259">
        <f t="shared" si="164"/>
        <v>0</v>
      </c>
      <c r="CD14" s="259">
        <f t="shared" si="165"/>
        <v>0</v>
      </c>
      <c r="CE14" s="259">
        <f t="shared" si="166"/>
        <v>0</v>
      </c>
      <c r="CF14" s="259">
        <f t="shared" si="167"/>
        <v>0</v>
      </c>
      <c r="CG14" s="259">
        <f t="shared" si="168"/>
        <v>0</v>
      </c>
      <c r="CH14" s="259">
        <f t="shared" si="169"/>
        <v>0</v>
      </c>
      <c r="CI14" s="259">
        <f t="shared" si="170"/>
        <v>0</v>
      </c>
      <c r="CJ14" s="259">
        <f t="shared" si="171"/>
        <v>0</v>
      </c>
      <c r="CK14" s="259">
        <f t="shared" si="172"/>
        <v>0</v>
      </c>
      <c r="CL14" s="259">
        <f t="shared" si="173"/>
        <v>0</v>
      </c>
      <c r="CM14" s="259">
        <f t="shared" si="174"/>
        <v>0</v>
      </c>
      <c r="CN14" s="259">
        <f t="shared" si="175"/>
        <v>0</v>
      </c>
      <c r="CO14" s="259">
        <f t="shared" si="176"/>
        <v>0</v>
      </c>
      <c r="CP14" s="259">
        <f t="shared" si="177"/>
        <v>0</v>
      </c>
      <c r="CQ14" s="259">
        <f t="shared" si="178"/>
        <v>0</v>
      </c>
      <c r="CR14" s="259"/>
      <c r="CS14" s="259"/>
      <c r="CT14" s="259"/>
      <c r="CU14" s="259"/>
      <c r="CV14" s="259"/>
      <c r="CW14" s="259">
        <f t="shared" si="179"/>
        <v>0</v>
      </c>
      <c r="CX14" s="259">
        <f t="shared" si="180"/>
        <v>0</v>
      </c>
      <c r="CY14" s="259">
        <f t="shared" si="181"/>
        <v>0</v>
      </c>
      <c r="CZ14" s="259">
        <f t="shared" si="182"/>
        <v>0</v>
      </c>
      <c r="DA14" s="259">
        <f t="shared" si="183"/>
        <v>0</v>
      </c>
      <c r="DB14" s="259">
        <f t="shared" si="184"/>
        <v>0</v>
      </c>
      <c r="DC14" s="259">
        <f t="shared" si="185"/>
        <v>0</v>
      </c>
      <c r="DD14" s="259">
        <f t="shared" si="186"/>
        <v>0</v>
      </c>
      <c r="DE14" s="259">
        <f t="shared" si="187"/>
        <v>0</v>
      </c>
      <c r="DF14" s="259">
        <f t="shared" si="188"/>
        <v>0</v>
      </c>
      <c r="DG14" s="259">
        <f t="shared" si="189"/>
        <v>0</v>
      </c>
      <c r="DH14" s="259">
        <f t="shared" si="190"/>
        <v>0</v>
      </c>
      <c r="DI14" s="259">
        <f t="shared" si="191"/>
        <v>0</v>
      </c>
      <c r="DJ14" s="259">
        <f t="shared" si="192"/>
        <v>0</v>
      </c>
      <c r="DK14" s="259">
        <f t="shared" si="193"/>
        <v>0</v>
      </c>
      <c r="DL14" s="259">
        <f t="shared" si="194"/>
        <v>0</v>
      </c>
      <c r="DM14" s="259">
        <f t="shared" si="195"/>
        <v>0</v>
      </c>
      <c r="DN14" s="259">
        <f t="shared" si="196"/>
        <v>0</v>
      </c>
      <c r="DO14" s="259">
        <f t="shared" si="197"/>
        <v>0</v>
      </c>
      <c r="DP14" s="259">
        <f t="shared" si="198"/>
        <v>0</v>
      </c>
      <c r="DQ14" s="259">
        <f t="shared" si="199"/>
        <v>0</v>
      </c>
      <c r="DR14" s="259">
        <f t="shared" si="200"/>
        <v>0</v>
      </c>
      <c r="DS14" s="259">
        <f t="shared" si="201"/>
        <v>0</v>
      </c>
      <c r="DT14" s="259">
        <f t="shared" si="202"/>
        <v>0</v>
      </c>
      <c r="DU14" s="259">
        <f t="shared" si="203"/>
        <v>0</v>
      </c>
      <c r="DV14" s="259">
        <f t="shared" si="204"/>
        <v>0</v>
      </c>
      <c r="DW14" s="259">
        <f t="shared" si="205"/>
        <v>0</v>
      </c>
      <c r="DX14" s="259">
        <f t="shared" si="206"/>
        <v>0</v>
      </c>
      <c r="DY14" s="259">
        <f t="shared" si="207"/>
        <v>0</v>
      </c>
      <c r="DZ14" s="259">
        <f t="shared" si="208"/>
        <v>0</v>
      </c>
      <c r="EA14" s="259">
        <f t="shared" si="209"/>
        <v>0</v>
      </c>
      <c r="EB14" s="259">
        <f t="shared" si="210"/>
        <v>0</v>
      </c>
      <c r="EC14" s="263">
        <f t="shared" si="211"/>
        <v>0</v>
      </c>
      <c r="ED14" s="259">
        <f t="shared" si="212"/>
        <v>0</v>
      </c>
      <c r="EE14" s="259">
        <f t="shared" si="213"/>
        <v>0</v>
      </c>
      <c r="EF14" s="259">
        <f t="shared" si="214"/>
        <v>0</v>
      </c>
      <c r="EG14" s="259">
        <f t="shared" si="215"/>
        <v>0</v>
      </c>
      <c r="EH14" s="259">
        <f t="shared" si="216"/>
        <v>0</v>
      </c>
      <c r="EI14" s="259">
        <f t="shared" si="217"/>
        <v>0</v>
      </c>
      <c r="EJ14" s="259">
        <f t="shared" si="114"/>
        <v>0</v>
      </c>
      <c r="EK14" s="259">
        <f t="shared" si="218"/>
        <v>0</v>
      </c>
      <c r="EL14" s="259">
        <f t="shared" si="219"/>
        <v>0</v>
      </c>
      <c r="EM14" s="259">
        <f t="shared" si="220"/>
        <v>0</v>
      </c>
      <c r="EN14" s="259">
        <f t="shared" si="221"/>
        <v>0</v>
      </c>
      <c r="EO14" s="259">
        <f t="shared" si="222"/>
        <v>0</v>
      </c>
      <c r="EP14" s="259"/>
      <c r="EQ14" s="259">
        <f t="shared" si="223"/>
        <v>0</v>
      </c>
      <c r="ER14" s="259">
        <f t="shared" si="224"/>
        <v>0</v>
      </c>
      <c r="ES14" s="259">
        <f t="shared" si="225"/>
        <v>0</v>
      </c>
      <c r="ET14" s="259">
        <f t="shared" si="226"/>
        <v>0</v>
      </c>
      <c r="EU14" s="259">
        <f t="shared" si="227"/>
        <v>0</v>
      </c>
      <c r="EV14" s="259">
        <f t="shared" si="228"/>
        <v>0</v>
      </c>
      <c r="EW14" s="259">
        <f t="shared" si="229"/>
        <v>0</v>
      </c>
      <c r="EX14" s="259">
        <f t="shared" si="230"/>
        <v>0</v>
      </c>
      <c r="EY14" s="259">
        <f t="shared" si="231"/>
        <v>0</v>
      </c>
      <c r="EZ14" s="259">
        <f t="shared" si="232"/>
        <v>0</v>
      </c>
      <c r="FA14" s="259"/>
      <c r="FB14" s="259"/>
      <c r="FC14" s="259"/>
      <c r="FD14" s="259"/>
      <c r="FE14" s="259"/>
      <c r="FF14" s="259">
        <f t="shared" si="233"/>
        <v>0</v>
      </c>
      <c r="FG14" s="259">
        <f t="shared" si="234"/>
        <v>0</v>
      </c>
      <c r="FH14" s="259">
        <f t="shared" si="235"/>
        <v>0</v>
      </c>
      <c r="FI14" s="259">
        <f t="shared" si="236"/>
        <v>0</v>
      </c>
      <c r="FL14" s="159" t="s">
        <v>151</v>
      </c>
      <c r="FM14" s="160" t="s">
        <v>152</v>
      </c>
    </row>
    <row r="15" spans="1:169" ht="15.75" thickBot="1" x14ac:dyDescent="0.3">
      <c r="A15" s="304">
        <v>13</v>
      </c>
      <c r="B15" s="299" t="s">
        <v>4</v>
      </c>
      <c r="C15" s="300" t="s">
        <v>5</v>
      </c>
      <c r="D15" s="299"/>
      <c r="E15" s="301"/>
      <c r="F15" s="301"/>
      <c r="G15" s="301"/>
      <c r="H15" s="299"/>
      <c r="I15" s="299"/>
      <c r="J15" s="299"/>
      <c r="K15" s="301"/>
      <c r="L15" s="302"/>
      <c r="M15" s="301" t="s">
        <v>150</v>
      </c>
      <c r="N15" s="303"/>
      <c r="O15" s="302">
        <v>42984</v>
      </c>
      <c r="P15" s="259"/>
      <c r="Q15" s="191">
        <f>SUM(Y57,Y58,Y61,Y70,Y72,Y74,Y88,Y65)</f>
        <v>15</v>
      </c>
      <c r="R15" s="98" t="s">
        <v>36</v>
      </c>
      <c r="S15" s="190" t="s">
        <v>775</v>
      </c>
      <c r="U15" s="81" t="s">
        <v>157</v>
      </c>
      <c r="V15" s="82"/>
      <c r="Y15" s="97"/>
      <c r="Z15" s="135">
        <f>SUM(AI17:AK17,AM17:AN17,AP17:AU17,AW17:BC17)</f>
        <v>0</v>
      </c>
      <c r="AA15" s="135">
        <f>SUM(BI17:CD17,CF17:CO17,CQ17)</f>
        <v>0</v>
      </c>
      <c r="AB15" s="135">
        <f t="shared" si="78"/>
        <v>0</v>
      </c>
      <c r="AC15" s="135">
        <f>SUM(EQ17:EX17,EZ17)</f>
        <v>0</v>
      </c>
      <c r="AD15" s="135">
        <f>SUM(FF17:FH17)</f>
        <v>0</v>
      </c>
      <c r="AF15" s="159" t="s">
        <v>284</v>
      </c>
      <c r="AG15" s="160" t="s">
        <v>283</v>
      </c>
      <c r="AH15" s="114">
        <f>SUM(AI15:AK15,AM15:AN15,AP15:AU15,AW15:BC15,BI15:CD15,CF15:CO15,CQ15,CW15:CZ15,DB15:DD15,DF15:EH15,EK15,EL15:EN15,EQ15:EX15,EZ15,FF15:FH15)</f>
        <v>0</v>
      </c>
      <c r="AI15" s="259">
        <f t="shared" si="122"/>
        <v>0</v>
      </c>
      <c r="AJ15" s="259">
        <f t="shared" si="123"/>
        <v>0</v>
      </c>
      <c r="AK15" s="259">
        <f t="shared" si="124"/>
        <v>0</v>
      </c>
      <c r="AL15" s="136">
        <f t="shared" si="125"/>
        <v>0</v>
      </c>
      <c r="AM15" s="259">
        <f t="shared" si="126"/>
        <v>0</v>
      </c>
      <c r="AN15" s="259">
        <f t="shared" si="127"/>
        <v>0</v>
      </c>
      <c r="AO15" s="259">
        <f t="shared" si="128"/>
        <v>0</v>
      </c>
      <c r="AP15" s="259">
        <f t="shared" si="129"/>
        <v>0</v>
      </c>
      <c r="AQ15" s="259">
        <f t="shared" si="130"/>
        <v>0</v>
      </c>
      <c r="AR15" s="259">
        <f t="shared" si="131"/>
        <v>0</v>
      </c>
      <c r="AS15" s="259">
        <f t="shared" si="132"/>
        <v>0</v>
      </c>
      <c r="AT15" s="259">
        <f t="shared" si="133"/>
        <v>0</v>
      </c>
      <c r="AU15" s="259">
        <f t="shared" si="134"/>
        <v>0</v>
      </c>
      <c r="AV15" s="259">
        <f t="shared" si="135"/>
        <v>0</v>
      </c>
      <c r="AW15" s="259">
        <f t="shared" si="136"/>
        <v>0</v>
      </c>
      <c r="AX15" s="259">
        <f t="shared" si="137"/>
        <v>0</v>
      </c>
      <c r="AY15" s="259">
        <f t="shared" si="138"/>
        <v>0</v>
      </c>
      <c r="AZ15" s="259">
        <f t="shared" si="139"/>
        <v>0</v>
      </c>
      <c r="BA15" s="259">
        <f t="shared" si="140"/>
        <v>0</v>
      </c>
      <c r="BB15" s="259">
        <f t="shared" si="141"/>
        <v>0</v>
      </c>
      <c r="BC15" s="263">
        <f t="shared" si="142"/>
        <v>0</v>
      </c>
      <c r="BD15" s="259">
        <f t="shared" si="143"/>
        <v>0</v>
      </c>
      <c r="BE15" s="259"/>
      <c r="BF15" s="259"/>
      <c r="BG15" s="259"/>
      <c r="BH15" s="259"/>
      <c r="BI15" s="259">
        <f t="shared" si="144"/>
        <v>0</v>
      </c>
      <c r="BJ15" s="259">
        <f t="shared" si="145"/>
        <v>0</v>
      </c>
      <c r="BK15" s="259">
        <f t="shared" si="146"/>
        <v>0</v>
      </c>
      <c r="BL15" s="259">
        <f t="shared" si="147"/>
        <v>0</v>
      </c>
      <c r="BM15" s="259">
        <f t="shared" si="148"/>
        <v>0</v>
      </c>
      <c r="BN15" s="259">
        <f t="shared" si="149"/>
        <v>0</v>
      </c>
      <c r="BO15" s="259">
        <f t="shared" si="150"/>
        <v>0</v>
      </c>
      <c r="BP15" s="259">
        <f t="shared" si="151"/>
        <v>0</v>
      </c>
      <c r="BQ15" s="259">
        <f t="shared" si="152"/>
        <v>0</v>
      </c>
      <c r="BR15" s="259">
        <f t="shared" si="153"/>
        <v>0</v>
      </c>
      <c r="BS15" s="259">
        <f t="shared" si="154"/>
        <v>0</v>
      </c>
      <c r="BT15" s="259">
        <f t="shared" si="155"/>
        <v>0</v>
      </c>
      <c r="BU15" s="259">
        <f t="shared" si="156"/>
        <v>0</v>
      </c>
      <c r="BV15" s="259">
        <f t="shared" si="157"/>
        <v>0</v>
      </c>
      <c r="BW15" s="259">
        <f t="shared" si="158"/>
        <v>0</v>
      </c>
      <c r="BX15" s="259">
        <f t="shared" si="159"/>
        <v>0</v>
      </c>
      <c r="BY15" s="259">
        <f t="shared" si="160"/>
        <v>0</v>
      </c>
      <c r="BZ15" s="259">
        <f t="shared" si="161"/>
        <v>0</v>
      </c>
      <c r="CA15" s="259">
        <f t="shared" si="162"/>
        <v>0</v>
      </c>
      <c r="CB15" s="259">
        <f t="shared" si="163"/>
        <v>0</v>
      </c>
      <c r="CC15" s="259">
        <f t="shared" si="164"/>
        <v>0</v>
      </c>
      <c r="CD15" s="259">
        <f t="shared" si="165"/>
        <v>0</v>
      </c>
      <c r="CE15" s="259">
        <f t="shared" si="166"/>
        <v>0</v>
      </c>
      <c r="CF15" s="259">
        <f t="shared" si="167"/>
        <v>0</v>
      </c>
      <c r="CG15" s="259">
        <f t="shared" si="168"/>
        <v>0</v>
      </c>
      <c r="CH15" s="259">
        <f t="shared" si="169"/>
        <v>0</v>
      </c>
      <c r="CI15" s="259">
        <f t="shared" si="170"/>
        <v>0</v>
      </c>
      <c r="CJ15" s="259">
        <f t="shared" si="171"/>
        <v>0</v>
      </c>
      <c r="CK15" s="259">
        <f t="shared" si="172"/>
        <v>0</v>
      </c>
      <c r="CL15" s="259">
        <f t="shared" si="173"/>
        <v>0</v>
      </c>
      <c r="CM15" s="259">
        <f t="shared" si="174"/>
        <v>0</v>
      </c>
      <c r="CN15" s="259">
        <f t="shared" si="175"/>
        <v>0</v>
      </c>
      <c r="CO15" s="259">
        <f t="shared" si="176"/>
        <v>0</v>
      </c>
      <c r="CP15" s="259">
        <f t="shared" si="177"/>
        <v>0</v>
      </c>
      <c r="CQ15" s="259">
        <f t="shared" si="178"/>
        <v>0</v>
      </c>
      <c r="CR15" s="259"/>
      <c r="CS15" s="259"/>
      <c r="CT15" s="259"/>
      <c r="CU15" s="259"/>
      <c r="CV15" s="259"/>
      <c r="CW15" s="259">
        <f t="shared" si="179"/>
        <v>0</v>
      </c>
      <c r="CX15" s="259">
        <f t="shared" si="180"/>
        <v>0</v>
      </c>
      <c r="CY15" s="259">
        <f t="shared" si="181"/>
        <v>0</v>
      </c>
      <c r="CZ15" s="259">
        <f t="shared" si="182"/>
        <v>0</v>
      </c>
      <c r="DA15" s="259">
        <f t="shared" si="183"/>
        <v>0</v>
      </c>
      <c r="DB15" s="259">
        <f t="shared" si="184"/>
        <v>0</v>
      </c>
      <c r="DC15" s="259">
        <f t="shared" si="185"/>
        <v>0</v>
      </c>
      <c r="DD15" s="259">
        <f t="shared" si="186"/>
        <v>0</v>
      </c>
      <c r="DE15" s="259">
        <f t="shared" si="187"/>
        <v>0</v>
      </c>
      <c r="DF15" s="259">
        <f t="shared" si="188"/>
        <v>0</v>
      </c>
      <c r="DG15" s="259">
        <f t="shared" si="189"/>
        <v>0</v>
      </c>
      <c r="DH15" s="259">
        <f t="shared" si="190"/>
        <v>0</v>
      </c>
      <c r="DI15" s="259">
        <f t="shared" si="191"/>
        <v>0</v>
      </c>
      <c r="DJ15" s="259">
        <f t="shared" si="192"/>
        <v>0</v>
      </c>
      <c r="DK15" s="259">
        <f t="shared" si="193"/>
        <v>0</v>
      </c>
      <c r="DL15" s="259">
        <f t="shared" si="194"/>
        <v>0</v>
      </c>
      <c r="DM15" s="259">
        <f t="shared" si="195"/>
        <v>0</v>
      </c>
      <c r="DN15" s="259">
        <f t="shared" si="196"/>
        <v>0</v>
      </c>
      <c r="DO15" s="259">
        <f t="shared" si="197"/>
        <v>0</v>
      </c>
      <c r="DP15" s="259">
        <f t="shared" si="198"/>
        <v>0</v>
      </c>
      <c r="DQ15" s="259">
        <f t="shared" si="199"/>
        <v>0</v>
      </c>
      <c r="DR15" s="259">
        <f t="shared" si="200"/>
        <v>0</v>
      </c>
      <c r="DS15" s="259">
        <f t="shared" si="201"/>
        <v>0</v>
      </c>
      <c r="DT15" s="259">
        <f t="shared" si="202"/>
        <v>0</v>
      </c>
      <c r="DU15" s="259">
        <f t="shared" si="203"/>
        <v>0</v>
      </c>
      <c r="DV15" s="259">
        <f t="shared" si="204"/>
        <v>0</v>
      </c>
      <c r="DW15" s="259">
        <f t="shared" si="205"/>
        <v>0</v>
      </c>
      <c r="DX15" s="259">
        <f t="shared" si="206"/>
        <v>0</v>
      </c>
      <c r="DY15" s="259">
        <f t="shared" si="207"/>
        <v>0</v>
      </c>
      <c r="DZ15" s="259">
        <f t="shared" si="208"/>
        <v>0</v>
      </c>
      <c r="EA15" s="259">
        <f t="shared" si="209"/>
        <v>0</v>
      </c>
      <c r="EB15" s="259">
        <f t="shared" si="210"/>
        <v>0</v>
      </c>
      <c r="EC15" s="263">
        <f t="shared" si="211"/>
        <v>0</v>
      </c>
      <c r="ED15" s="259">
        <f t="shared" si="212"/>
        <v>0</v>
      </c>
      <c r="EE15" s="259">
        <f t="shared" si="213"/>
        <v>0</v>
      </c>
      <c r="EF15" s="259">
        <f t="shared" si="214"/>
        <v>0</v>
      </c>
      <c r="EG15" s="259">
        <f t="shared" si="215"/>
        <v>0</v>
      </c>
      <c r="EH15" s="259">
        <f t="shared" si="216"/>
        <v>0</v>
      </c>
      <c r="EI15" s="259">
        <f t="shared" si="217"/>
        <v>0</v>
      </c>
      <c r="EJ15" s="259">
        <f t="shared" si="114"/>
        <v>0</v>
      </c>
      <c r="EK15" s="259">
        <f t="shared" si="218"/>
        <v>0</v>
      </c>
      <c r="EL15" s="259">
        <f t="shared" si="219"/>
        <v>0</v>
      </c>
      <c r="EM15" s="259">
        <f t="shared" si="220"/>
        <v>0</v>
      </c>
      <c r="EN15" s="259">
        <f t="shared" si="221"/>
        <v>0</v>
      </c>
      <c r="EO15" s="259">
        <f t="shared" si="222"/>
        <v>0</v>
      </c>
      <c r="EP15" s="259"/>
      <c r="EQ15" s="259">
        <f t="shared" si="223"/>
        <v>0</v>
      </c>
      <c r="ER15" s="259">
        <f t="shared" si="224"/>
        <v>0</v>
      </c>
      <c r="ES15" s="259">
        <f t="shared" si="225"/>
        <v>0</v>
      </c>
      <c r="ET15" s="259">
        <f t="shared" si="226"/>
        <v>0</v>
      </c>
      <c r="EU15" s="259">
        <f t="shared" si="227"/>
        <v>0</v>
      </c>
      <c r="EV15" s="259">
        <f t="shared" si="228"/>
        <v>0</v>
      </c>
      <c r="EW15" s="259">
        <f t="shared" si="229"/>
        <v>0</v>
      </c>
      <c r="EX15" s="259">
        <f t="shared" si="230"/>
        <v>0</v>
      </c>
      <c r="EY15" s="259">
        <f t="shared" si="231"/>
        <v>0</v>
      </c>
      <c r="EZ15" s="259">
        <f t="shared" si="232"/>
        <v>0</v>
      </c>
      <c r="FA15" s="259"/>
      <c r="FB15" s="259"/>
      <c r="FC15" s="259"/>
      <c r="FD15" s="259"/>
      <c r="FE15" s="259"/>
      <c r="FF15" s="259">
        <f t="shared" si="233"/>
        <v>0</v>
      </c>
      <c r="FG15" s="259">
        <f t="shared" si="234"/>
        <v>0</v>
      </c>
      <c r="FH15" s="259">
        <f t="shared" si="235"/>
        <v>0</v>
      </c>
      <c r="FI15" s="259">
        <f t="shared" si="236"/>
        <v>0</v>
      </c>
      <c r="FL15" s="159" t="s">
        <v>284</v>
      </c>
      <c r="FM15" s="160" t="s">
        <v>283</v>
      </c>
    </row>
    <row r="16" spans="1:169" ht="15.75" thickBot="1" x14ac:dyDescent="0.3">
      <c r="A16" s="304">
        <v>14</v>
      </c>
      <c r="B16" s="299" t="s">
        <v>4</v>
      </c>
      <c r="C16" s="300" t="s">
        <v>5</v>
      </c>
      <c r="D16" s="299"/>
      <c r="E16" s="301"/>
      <c r="F16" s="301"/>
      <c r="G16" s="301"/>
      <c r="H16" s="299"/>
      <c r="I16" s="299"/>
      <c r="J16" s="299"/>
      <c r="K16" s="301"/>
      <c r="L16" s="302"/>
      <c r="M16" s="301" t="s">
        <v>150</v>
      </c>
      <c r="N16" s="303"/>
      <c r="O16" s="302">
        <v>42984</v>
      </c>
      <c r="P16" s="259"/>
      <c r="Q16" s="191">
        <f>SUM(Y59,Y64)</f>
        <v>0</v>
      </c>
      <c r="R16" s="98" t="s">
        <v>37</v>
      </c>
      <c r="S16" s="82" t="s">
        <v>256</v>
      </c>
      <c r="U16" s="98" t="s">
        <v>59</v>
      </c>
      <c r="V16" s="99"/>
      <c r="Y16" s="97"/>
      <c r="Z16" s="135">
        <f>SUM(AI18:AK18,AM18:AN18,AP18:AU18,AW18:BC18)</f>
        <v>7</v>
      </c>
      <c r="AA16" s="135">
        <f>SUM(BI18:CD18,CF18:CO18,CQ18)</f>
        <v>8</v>
      </c>
      <c r="AB16" s="135">
        <f t="shared" si="78"/>
        <v>0</v>
      </c>
      <c r="AC16" s="135">
        <f>SUM(EQ18:EX18,EZ18)</f>
        <v>3</v>
      </c>
      <c r="AD16" s="135">
        <f>SUM(FF18:FH18)</f>
        <v>6</v>
      </c>
      <c r="AF16" s="159" t="s">
        <v>153</v>
      </c>
      <c r="AG16" s="160" t="s">
        <v>154</v>
      </c>
      <c r="AH16" s="114">
        <f>SUM(AI16:AK16,AM16:AN16,AP16:AU16,AW16:BC16,BI16:CD16,CF16:CO16,CQ16,CW16:CZ16,DB16:DD16,DF16:EH16,EK16,EL16:EN16,EQ16:EX16,EZ16,FF16:FH16)</f>
        <v>0</v>
      </c>
      <c r="AI16" s="259">
        <f t="shared" si="122"/>
        <v>0</v>
      </c>
      <c r="AJ16" s="259">
        <f t="shared" si="123"/>
        <v>0</v>
      </c>
      <c r="AK16" s="259">
        <f t="shared" si="124"/>
        <v>0</v>
      </c>
      <c r="AL16" s="136">
        <f t="shared" si="125"/>
        <v>0</v>
      </c>
      <c r="AM16" s="259">
        <f t="shared" si="126"/>
        <v>0</v>
      </c>
      <c r="AN16" s="259">
        <f t="shared" si="127"/>
        <v>0</v>
      </c>
      <c r="AO16" s="259">
        <f t="shared" si="128"/>
        <v>0</v>
      </c>
      <c r="AP16" s="259">
        <f t="shared" si="129"/>
        <v>0</v>
      </c>
      <c r="AQ16" s="259">
        <f t="shared" si="130"/>
        <v>0</v>
      </c>
      <c r="AR16" s="259">
        <f t="shared" si="131"/>
        <v>0</v>
      </c>
      <c r="AS16" s="259">
        <f t="shared" si="132"/>
        <v>0</v>
      </c>
      <c r="AT16" s="259">
        <f t="shared" si="133"/>
        <v>0</v>
      </c>
      <c r="AU16" s="259">
        <f t="shared" si="134"/>
        <v>0</v>
      </c>
      <c r="AV16" s="259">
        <f t="shared" si="135"/>
        <v>0</v>
      </c>
      <c r="AW16" s="259">
        <f t="shared" si="136"/>
        <v>0</v>
      </c>
      <c r="AX16" s="259">
        <f t="shared" si="137"/>
        <v>0</v>
      </c>
      <c r="AY16" s="259">
        <f t="shared" si="138"/>
        <v>0</v>
      </c>
      <c r="AZ16" s="259">
        <f t="shared" si="139"/>
        <v>0</v>
      </c>
      <c r="BA16" s="259">
        <f t="shared" si="140"/>
        <v>0</v>
      </c>
      <c r="BB16" s="259">
        <f t="shared" si="141"/>
        <v>0</v>
      </c>
      <c r="BC16" s="263">
        <f t="shared" si="142"/>
        <v>0</v>
      </c>
      <c r="BD16" s="259">
        <f t="shared" si="143"/>
        <v>0</v>
      </c>
      <c r="BE16" s="259"/>
      <c r="BF16" s="259"/>
      <c r="BG16" s="259"/>
      <c r="BH16" s="259"/>
      <c r="BI16" s="259">
        <f t="shared" si="144"/>
        <v>0</v>
      </c>
      <c r="BJ16" s="259">
        <f t="shared" si="145"/>
        <v>0</v>
      </c>
      <c r="BK16" s="259">
        <f t="shared" si="146"/>
        <v>0</v>
      </c>
      <c r="BL16" s="259">
        <f t="shared" si="147"/>
        <v>0</v>
      </c>
      <c r="BM16" s="259">
        <f t="shared" si="148"/>
        <v>0</v>
      </c>
      <c r="BN16" s="259">
        <f t="shared" si="149"/>
        <v>0</v>
      </c>
      <c r="BO16" s="259">
        <f t="shared" si="150"/>
        <v>0</v>
      </c>
      <c r="BP16" s="259">
        <f t="shared" si="151"/>
        <v>0</v>
      </c>
      <c r="BQ16" s="259">
        <f t="shared" si="152"/>
        <v>0</v>
      </c>
      <c r="BR16" s="259">
        <f t="shared" si="153"/>
        <v>0</v>
      </c>
      <c r="BS16" s="259">
        <f t="shared" si="154"/>
        <v>0</v>
      </c>
      <c r="BT16" s="259">
        <f t="shared" si="155"/>
        <v>0</v>
      </c>
      <c r="BU16" s="259">
        <f t="shared" si="156"/>
        <v>0</v>
      </c>
      <c r="BV16" s="259">
        <f t="shared" si="157"/>
        <v>0</v>
      </c>
      <c r="BW16" s="259">
        <f t="shared" si="158"/>
        <v>0</v>
      </c>
      <c r="BX16" s="259">
        <f t="shared" si="159"/>
        <v>0</v>
      </c>
      <c r="BY16" s="259">
        <f t="shared" si="160"/>
        <v>0</v>
      </c>
      <c r="BZ16" s="259">
        <f t="shared" si="161"/>
        <v>0</v>
      </c>
      <c r="CA16" s="259">
        <f t="shared" si="162"/>
        <v>0</v>
      </c>
      <c r="CB16" s="259">
        <f t="shared" si="163"/>
        <v>0</v>
      </c>
      <c r="CC16" s="259">
        <f t="shared" si="164"/>
        <v>0</v>
      </c>
      <c r="CD16" s="259">
        <f t="shared" si="165"/>
        <v>0</v>
      </c>
      <c r="CE16" s="259">
        <f t="shared" si="166"/>
        <v>0</v>
      </c>
      <c r="CF16" s="259">
        <f t="shared" si="167"/>
        <v>0</v>
      </c>
      <c r="CG16" s="259">
        <f t="shared" si="168"/>
        <v>0</v>
      </c>
      <c r="CH16" s="259">
        <f t="shared" si="169"/>
        <v>0</v>
      </c>
      <c r="CI16" s="259">
        <f t="shared" si="170"/>
        <v>0</v>
      </c>
      <c r="CJ16" s="259">
        <f t="shared" si="171"/>
        <v>0</v>
      </c>
      <c r="CK16" s="259">
        <f t="shared" si="172"/>
        <v>0</v>
      </c>
      <c r="CL16" s="259">
        <f t="shared" si="173"/>
        <v>0</v>
      </c>
      <c r="CM16" s="259">
        <f t="shared" si="174"/>
        <v>0</v>
      </c>
      <c r="CN16" s="259">
        <f t="shared" si="175"/>
        <v>0</v>
      </c>
      <c r="CO16" s="259">
        <f t="shared" si="176"/>
        <v>0</v>
      </c>
      <c r="CP16" s="259">
        <f t="shared" si="177"/>
        <v>0</v>
      </c>
      <c r="CQ16" s="259">
        <f t="shared" si="178"/>
        <v>0</v>
      </c>
      <c r="CR16" s="259"/>
      <c r="CS16" s="259"/>
      <c r="CT16" s="259"/>
      <c r="CU16" s="259"/>
      <c r="CV16" s="259"/>
      <c r="CW16" s="259">
        <f t="shared" si="179"/>
        <v>0</v>
      </c>
      <c r="CX16" s="259">
        <f t="shared" si="180"/>
        <v>0</v>
      </c>
      <c r="CY16" s="259">
        <f t="shared" si="181"/>
        <v>0</v>
      </c>
      <c r="CZ16" s="259">
        <f t="shared" si="182"/>
        <v>0</v>
      </c>
      <c r="DA16" s="259">
        <f t="shared" si="183"/>
        <v>0</v>
      </c>
      <c r="DB16" s="259">
        <f t="shared" si="184"/>
        <v>0</v>
      </c>
      <c r="DC16" s="259">
        <f t="shared" si="185"/>
        <v>0</v>
      </c>
      <c r="DD16" s="259">
        <f t="shared" si="186"/>
        <v>0</v>
      </c>
      <c r="DE16" s="259">
        <f t="shared" si="187"/>
        <v>0</v>
      </c>
      <c r="DF16" s="259">
        <f t="shared" si="188"/>
        <v>0</v>
      </c>
      <c r="DG16" s="259">
        <f t="shared" si="189"/>
        <v>0</v>
      </c>
      <c r="DH16" s="259">
        <f t="shared" si="190"/>
        <v>0</v>
      </c>
      <c r="DI16" s="259">
        <f t="shared" si="191"/>
        <v>0</v>
      </c>
      <c r="DJ16" s="259">
        <f t="shared" si="192"/>
        <v>0</v>
      </c>
      <c r="DK16" s="259">
        <f t="shared" si="193"/>
        <v>0</v>
      </c>
      <c r="DL16" s="259">
        <f t="shared" si="194"/>
        <v>0</v>
      </c>
      <c r="DM16" s="259">
        <f t="shared" si="195"/>
        <v>0</v>
      </c>
      <c r="DN16" s="259">
        <f t="shared" si="196"/>
        <v>0</v>
      </c>
      <c r="DO16" s="259">
        <f t="shared" si="197"/>
        <v>0</v>
      </c>
      <c r="DP16" s="259">
        <f t="shared" si="198"/>
        <v>0</v>
      </c>
      <c r="DQ16" s="259">
        <f t="shared" si="199"/>
        <v>0</v>
      </c>
      <c r="DR16" s="259">
        <f t="shared" si="200"/>
        <v>0</v>
      </c>
      <c r="DS16" s="259">
        <f t="shared" si="201"/>
        <v>0</v>
      </c>
      <c r="DT16" s="259">
        <f t="shared" si="202"/>
        <v>0</v>
      </c>
      <c r="DU16" s="259">
        <f t="shared" si="203"/>
        <v>0</v>
      </c>
      <c r="DV16" s="259">
        <f t="shared" si="204"/>
        <v>0</v>
      </c>
      <c r="DW16" s="259">
        <f t="shared" si="205"/>
        <v>0</v>
      </c>
      <c r="DX16" s="259">
        <f t="shared" si="206"/>
        <v>0</v>
      </c>
      <c r="DY16" s="259">
        <f t="shared" si="207"/>
        <v>0</v>
      </c>
      <c r="DZ16" s="259">
        <f t="shared" si="208"/>
        <v>0</v>
      </c>
      <c r="EA16" s="259">
        <f t="shared" si="209"/>
        <v>0</v>
      </c>
      <c r="EB16" s="259">
        <f t="shared" si="210"/>
        <v>0</v>
      </c>
      <c r="EC16" s="263">
        <f t="shared" si="211"/>
        <v>0</v>
      </c>
      <c r="ED16" s="259">
        <f t="shared" si="212"/>
        <v>0</v>
      </c>
      <c r="EE16" s="259">
        <f t="shared" si="213"/>
        <v>0</v>
      </c>
      <c r="EF16" s="259">
        <f t="shared" si="214"/>
        <v>0</v>
      </c>
      <c r="EG16" s="259">
        <f t="shared" si="215"/>
        <v>0</v>
      </c>
      <c r="EH16" s="259">
        <f t="shared" si="216"/>
        <v>0</v>
      </c>
      <c r="EI16" s="259">
        <f t="shared" si="217"/>
        <v>0</v>
      </c>
      <c r="EJ16" s="259">
        <f t="shared" si="114"/>
        <v>0</v>
      </c>
      <c r="EK16" s="259">
        <f t="shared" si="218"/>
        <v>0</v>
      </c>
      <c r="EL16" s="259">
        <f t="shared" si="219"/>
        <v>0</v>
      </c>
      <c r="EM16" s="259">
        <f t="shared" si="220"/>
        <v>0</v>
      </c>
      <c r="EN16" s="259">
        <f t="shared" si="221"/>
        <v>0</v>
      </c>
      <c r="EO16" s="259">
        <f t="shared" si="222"/>
        <v>0</v>
      </c>
      <c r="EP16" s="259"/>
      <c r="EQ16" s="259">
        <f t="shared" si="223"/>
        <v>0</v>
      </c>
      <c r="ER16" s="259">
        <f t="shared" si="224"/>
        <v>0</v>
      </c>
      <c r="ES16" s="259">
        <f t="shared" si="225"/>
        <v>0</v>
      </c>
      <c r="ET16" s="259">
        <f t="shared" si="226"/>
        <v>0</v>
      </c>
      <c r="EU16" s="259">
        <f t="shared" si="227"/>
        <v>0</v>
      </c>
      <c r="EV16" s="259">
        <f t="shared" si="228"/>
        <v>0</v>
      </c>
      <c r="EW16" s="259">
        <f t="shared" si="229"/>
        <v>0</v>
      </c>
      <c r="EX16" s="259">
        <f t="shared" si="230"/>
        <v>0</v>
      </c>
      <c r="EY16" s="259">
        <f t="shared" si="231"/>
        <v>0</v>
      </c>
      <c r="EZ16" s="259">
        <f t="shared" si="232"/>
        <v>0</v>
      </c>
      <c r="FA16" s="259"/>
      <c r="FB16" s="259"/>
      <c r="FC16" s="259"/>
      <c r="FD16" s="259"/>
      <c r="FE16" s="259"/>
      <c r="FF16" s="259">
        <f t="shared" si="233"/>
        <v>0</v>
      </c>
      <c r="FG16" s="259">
        <f t="shared" si="234"/>
        <v>0</v>
      </c>
      <c r="FH16" s="259">
        <f t="shared" si="235"/>
        <v>0</v>
      </c>
      <c r="FI16" s="259">
        <f t="shared" si="236"/>
        <v>0</v>
      </c>
      <c r="FL16" s="159" t="s">
        <v>153</v>
      </c>
      <c r="FM16" s="160" t="s">
        <v>154</v>
      </c>
    </row>
    <row r="17" spans="1:169" ht="15.75" thickBot="1" x14ac:dyDescent="0.3">
      <c r="A17" s="304">
        <v>15</v>
      </c>
      <c r="B17" s="299" t="s">
        <v>4</v>
      </c>
      <c r="C17" s="300" t="s">
        <v>5</v>
      </c>
      <c r="D17" s="299"/>
      <c r="E17" s="301"/>
      <c r="F17" s="301"/>
      <c r="G17" s="301"/>
      <c r="H17" s="299"/>
      <c r="I17" s="299"/>
      <c r="J17" s="299"/>
      <c r="K17" s="301"/>
      <c r="L17" s="302"/>
      <c r="M17" s="301" t="s">
        <v>150</v>
      </c>
      <c r="N17" s="303"/>
      <c r="O17" s="302">
        <v>42984</v>
      </c>
      <c r="P17" s="259"/>
      <c r="Q17" s="191">
        <f>SUM(Y60,Y82,Y85,Y86,Y87,Y89,Y91,Y99)</f>
        <v>38</v>
      </c>
      <c r="R17" s="98" t="s">
        <v>8</v>
      </c>
      <c r="S17" s="82" t="s">
        <v>260</v>
      </c>
      <c r="U17" s="98" t="s">
        <v>1</v>
      </c>
      <c r="V17" s="99"/>
      <c r="Y17" s="97"/>
      <c r="Z17" s="135">
        <f>SUM(AI19:AK19,AM19:AN19,AP19:AU19,AW19:BC19)</f>
        <v>0</v>
      </c>
      <c r="AA17" s="135">
        <f>SUM(BI19:CD19,CF19:CO19,CQ19)</f>
        <v>0</v>
      </c>
      <c r="AB17" s="135">
        <f t="shared" si="78"/>
        <v>0</v>
      </c>
      <c r="AC17" s="135">
        <f>SUM(EQ19:EX19,EZ19)</f>
        <v>0</v>
      </c>
      <c r="AD17" s="135">
        <f>SUM(FF19:FH19)</f>
        <v>0</v>
      </c>
      <c r="AF17" s="159" t="s">
        <v>155</v>
      </c>
      <c r="AG17" s="160" t="s">
        <v>156</v>
      </c>
      <c r="AH17" s="114">
        <f>SUM(AI17:AK17,AM17:AN17,AP17:AU17,AW17:BC17,BI17:CD17,CF17:CO17,CQ17,CW17:CZ17,DB17:DD17,DF17:EH17,EK17,EL17:EN17,EQ17:EX17,EZ17,FF17:FH17)</f>
        <v>0</v>
      </c>
      <c r="AI17" s="259">
        <f t="shared" si="122"/>
        <v>0</v>
      </c>
      <c r="AJ17" s="259">
        <f t="shared" si="123"/>
        <v>0</v>
      </c>
      <c r="AK17" s="259">
        <f t="shared" si="124"/>
        <v>0</v>
      </c>
      <c r="AL17" s="136">
        <f t="shared" si="125"/>
        <v>0</v>
      </c>
      <c r="AM17" s="259">
        <f t="shared" si="126"/>
        <v>0</v>
      </c>
      <c r="AN17" s="259">
        <f t="shared" si="127"/>
        <v>0</v>
      </c>
      <c r="AO17" s="259">
        <f t="shared" si="128"/>
        <v>0</v>
      </c>
      <c r="AP17" s="259">
        <f t="shared" si="129"/>
        <v>0</v>
      </c>
      <c r="AQ17" s="259">
        <f t="shared" si="130"/>
        <v>0</v>
      </c>
      <c r="AR17" s="259">
        <f t="shared" si="131"/>
        <v>0</v>
      </c>
      <c r="AS17" s="259">
        <f t="shared" si="132"/>
        <v>0</v>
      </c>
      <c r="AT17" s="259">
        <f t="shared" si="133"/>
        <v>0</v>
      </c>
      <c r="AU17" s="259">
        <f t="shared" si="134"/>
        <v>0</v>
      </c>
      <c r="AV17" s="259">
        <f t="shared" si="135"/>
        <v>0</v>
      </c>
      <c r="AW17" s="259">
        <f t="shared" si="136"/>
        <v>0</v>
      </c>
      <c r="AX17" s="259">
        <f t="shared" si="137"/>
        <v>0</v>
      </c>
      <c r="AY17" s="259">
        <f t="shared" si="138"/>
        <v>0</v>
      </c>
      <c r="AZ17" s="259">
        <f t="shared" si="139"/>
        <v>0</v>
      </c>
      <c r="BA17" s="259">
        <f t="shared" si="140"/>
        <v>0</v>
      </c>
      <c r="BB17" s="259">
        <f t="shared" si="141"/>
        <v>0</v>
      </c>
      <c r="BC17" s="263">
        <f t="shared" si="142"/>
        <v>0</v>
      </c>
      <c r="BD17" s="259">
        <f t="shared" si="143"/>
        <v>0</v>
      </c>
      <c r="BE17" s="259"/>
      <c r="BF17" s="259"/>
      <c r="BG17" s="259"/>
      <c r="BH17" s="259"/>
      <c r="BI17" s="259">
        <f t="shared" si="144"/>
        <v>0</v>
      </c>
      <c r="BJ17" s="259">
        <f t="shared" si="145"/>
        <v>0</v>
      </c>
      <c r="BK17" s="259">
        <f t="shared" si="146"/>
        <v>0</v>
      </c>
      <c r="BL17" s="259">
        <f t="shared" si="147"/>
        <v>0</v>
      </c>
      <c r="BM17" s="259">
        <f t="shared" si="148"/>
        <v>0</v>
      </c>
      <c r="BN17" s="259">
        <f t="shared" si="149"/>
        <v>0</v>
      </c>
      <c r="BO17" s="259">
        <f t="shared" si="150"/>
        <v>0</v>
      </c>
      <c r="BP17" s="259">
        <f t="shared" si="151"/>
        <v>0</v>
      </c>
      <c r="BQ17" s="259">
        <f t="shared" si="152"/>
        <v>0</v>
      </c>
      <c r="BR17" s="259">
        <f t="shared" si="153"/>
        <v>0</v>
      </c>
      <c r="BS17" s="259">
        <f t="shared" si="154"/>
        <v>0</v>
      </c>
      <c r="BT17" s="259">
        <f t="shared" si="155"/>
        <v>0</v>
      </c>
      <c r="BU17" s="259">
        <f t="shared" si="156"/>
        <v>0</v>
      </c>
      <c r="BV17" s="259">
        <f t="shared" si="157"/>
        <v>0</v>
      </c>
      <c r="BW17" s="259">
        <f t="shared" si="158"/>
        <v>0</v>
      </c>
      <c r="BX17" s="259">
        <f t="shared" si="159"/>
        <v>0</v>
      </c>
      <c r="BY17" s="259">
        <f t="shared" si="160"/>
        <v>0</v>
      </c>
      <c r="BZ17" s="259">
        <f t="shared" si="161"/>
        <v>0</v>
      </c>
      <c r="CA17" s="259">
        <f t="shared" si="162"/>
        <v>0</v>
      </c>
      <c r="CB17" s="259">
        <f t="shared" si="163"/>
        <v>0</v>
      </c>
      <c r="CC17" s="259">
        <f t="shared" si="164"/>
        <v>0</v>
      </c>
      <c r="CD17" s="259">
        <f t="shared" si="165"/>
        <v>0</v>
      </c>
      <c r="CE17" s="259">
        <f t="shared" si="166"/>
        <v>0</v>
      </c>
      <c r="CF17" s="259">
        <f t="shared" si="167"/>
        <v>0</v>
      </c>
      <c r="CG17" s="259">
        <f t="shared" si="168"/>
        <v>0</v>
      </c>
      <c r="CH17" s="259">
        <f t="shared" si="169"/>
        <v>0</v>
      </c>
      <c r="CI17" s="259">
        <f t="shared" si="170"/>
        <v>0</v>
      </c>
      <c r="CJ17" s="259">
        <f t="shared" si="171"/>
        <v>0</v>
      </c>
      <c r="CK17" s="259">
        <f t="shared" si="172"/>
        <v>0</v>
      </c>
      <c r="CL17" s="259">
        <f t="shared" si="173"/>
        <v>0</v>
      </c>
      <c r="CM17" s="259">
        <f t="shared" si="174"/>
        <v>0</v>
      </c>
      <c r="CN17" s="259">
        <f t="shared" si="175"/>
        <v>0</v>
      </c>
      <c r="CO17" s="259">
        <f t="shared" si="176"/>
        <v>0</v>
      </c>
      <c r="CP17" s="259">
        <f t="shared" si="177"/>
        <v>0</v>
      </c>
      <c r="CQ17" s="259">
        <f t="shared" si="178"/>
        <v>0</v>
      </c>
      <c r="CR17" s="259"/>
      <c r="CS17" s="259"/>
      <c r="CT17" s="259"/>
      <c r="CU17" s="259"/>
      <c r="CV17" s="259"/>
      <c r="CW17" s="259">
        <f t="shared" si="179"/>
        <v>0</v>
      </c>
      <c r="CX17" s="259">
        <f t="shared" si="180"/>
        <v>0</v>
      </c>
      <c r="CY17" s="259">
        <f t="shared" si="181"/>
        <v>0</v>
      </c>
      <c r="CZ17" s="259">
        <f t="shared" si="182"/>
        <v>0</v>
      </c>
      <c r="DA17" s="259">
        <f t="shared" si="183"/>
        <v>0</v>
      </c>
      <c r="DB17" s="259">
        <f t="shared" si="184"/>
        <v>0</v>
      </c>
      <c r="DC17" s="259">
        <f t="shared" si="185"/>
        <v>0</v>
      </c>
      <c r="DD17" s="259">
        <f t="shared" si="186"/>
        <v>0</v>
      </c>
      <c r="DE17" s="259">
        <f t="shared" si="187"/>
        <v>0</v>
      </c>
      <c r="DF17" s="259">
        <f t="shared" si="188"/>
        <v>0</v>
      </c>
      <c r="DG17" s="259">
        <f t="shared" si="189"/>
        <v>0</v>
      </c>
      <c r="DH17" s="259">
        <f t="shared" si="190"/>
        <v>0</v>
      </c>
      <c r="DI17" s="259">
        <f t="shared" si="191"/>
        <v>0</v>
      </c>
      <c r="DJ17" s="259">
        <f t="shared" si="192"/>
        <v>0</v>
      </c>
      <c r="DK17" s="259">
        <f t="shared" si="193"/>
        <v>0</v>
      </c>
      <c r="DL17" s="259">
        <f t="shared" si="194"/>
        <v>0</v>
      </c>
      <c r="DM17" s="259">
        <f t="shared" si="195"/>
        <v>0</v>
      </c>
      <c r="DN17" s="259">
        <f t="shared" si="196"/>
        <v>0</v>
      </c>
      <c r="DO17" s="259">
        <f t="shared" si="197"/>
        <v>0</v>
      </c>
      <c r="DP17" s="259">
        <f t="shared" si="198"/>
        <v>0</v>
      </c>
      <c r="DQ17" s="259">
        <f t="shared" si="199"/>
        <v>0</v>
      </c>
      <c r="DR17" s="259">
        <f t="shared" si="200"/>
        <v>0</v>
      </c>
      <c r="DS17" s="259">
        <f t="shared" si="201"/>
        <v>0</v>
      </c>
      <c r="DT17" s="259">
        <f t="shared" si="202"/>
        <v>0</v>
      </c>
      <c r="DU17" s="259">
        <f t="shared" si="203"/>
        <v>0</v>
      </c>
      <c r="DV17" s="259">
        <f t="shared" si="204"/>
        <v>0</v>
      </c>
      <c r="DW17" s="259">
        <f t="shared" si="205"/>
        <v>0</v>
      </c>
      <c r="DX17" s="259">
        <f t="shared" si="206"/>
        <v>0</v>
      </c>
      <c r="DY17" s="259">
        <f t="shared" si="207"/>
        <v>0</v>
      </c>
      <c r="DZ17" s="259">
        <f t="shared" si="208"/>
        <v>0</v>
      </c>
      <c r="EA17" s="259">
        <f t="shared" si="209"/>
        <v>0</v>
      </c>
      <c r="EB17" s="259">
        <f t="shared" si="210"/>
        <v>0</v>
      </c>
      <c r="EC17" s="263">
        <f t="shared" si="211"/>
        <v>0</v>
      </c>
      <c r="ED17" s="259">
        <f t="shared" si="212"/>
        <v>0</v>
      </c>
      <c r="EE17" s="259">
        <f t="shared" si="213"/>
        <v>0</v>
      </c>
      <c r="EF17" s="259">
        <f t="shared" si="214"/>
        <v>0</v>
      </c>
      <c r="EG17" s="259">
        <f t="shared" si="215"/>
        <v>0</v>
      </c>
      <c r="EH17" s="259">
        <f t="shared" si="216"/>
        <v>0</v>
      </c>
      <c r="EI17" s="259">
        <f t="shared" si="217"/>
        <v>0</v>
      </c>
      <c r="EJ17" s="259">
        <f t="shared" si="114"/>
        <v>0</v>
      </c>
      <c r="EK17" s="259">
        <f t="shared" si="218"/>
        <v>0</v>
      </c>
      <c r="EL17" s="259">
        <f t="shared" si="219"/>
        <v>0</v>
      </c>
      <c r="EM17" s="259">
        <f t="shared" si="220"/>
        <v>0</v>
      </c>
      <c r="EN17" s="259">
        <f t="shared" si="221"/>
        <v>0</v>
      </c>
      <c r="EO17" s="259">
        <f t="shared" si="222"/>
        <v>0</v>
      </c>
      <c r="EP17" s="259"/>
      <c r="EQ17" s="259">
        <f t="shared" si="223"/>
        <v>0</v>
      </c>
      <c r="ER17" s="259">
        <f t="shared" si="224"/>
        <v>0</v>
      </c>
      <c r="ES17" s="259">
        <f t="shared" si="225"/>
        <v>0</v>
      </c>
      <c r="ET17" s="259">
        <f t="shared" si="226"/>
        <v>0</v>
      </c>
      <c r="EU17" s="259">
        <f t="shared" si="227"/>
        <v>0</v>
      </c>
      <c r="EV17" s="259">
        <f t="shared" si="228"/>
        <v>0</v>
      </c>
      <c r="EW17" s="259">
        <f t="shared" si="229"/>
        <v>0</v>
      </c>
      <c r="EX17" s="259">
        <f t="shared" si="230"/>
        <v>0</v>
      </c>
      <c r="EY17" s="259">
        <f t="shared" si="231"/>
        <v>0</v>
      </c>
      <c r="EZ17" s="259">
        <f t="shared" si="232"/>
        <v>0</v>
      </c>
      <c r="FA17" s="259"/>
      <c r="FB17" s="259"/>
      <c r="FC17" s="259"/>
      <c r="FD17" s="259"/>
      <c r="FE17" s="259"/>
      <c r="FF17" s="259">
        <f t="shared" si="233"/>
        <v>0</v>
      </c>
      <c r="FG17" s="259">
        <f t="shared" si="234"/>
        <v>0</v>
      </c>
      <c r="FH17" s="259">
        <f t="shared" si="235"/>
        <v>0</v>
      </c>
      <c r="FI17" s="259">
        <f t="shared" si="236"/>
        <v>0</v>
      </c>
      <c r="FL17" s="159" t="s">
        <v>155</v>
      </c>
      <c r="FM17" s="160" t="s">
        <v>156</v>
      </c>
    </row>
    <row r="18" spans="1:169" ht="15.75" thickBot="1" x14ac:dyDescent="0.3">
      <c r="A18" s="304">
        <v>16</v>
      </c>
      <c r="B18" s="299" t="s">
        <v>4</v>
      </c>
      <c r="C18" s="300" t="s">
        <v>5</v>
      </c>
      <c r="D18" s="299"/>
      <c r="E18" s="301"/>
      <c r="F18" s="301"/>
      <c r="G18" s="301"/>
      <c r="H18" s="299"/>
      <c r="I18" s="299"/>
      <c r="J18" s="299"/>
      <c r="K18" s="301"/>
      <c r="L18" s="302"/>
      <c r="M18" s="301" t="s">
        <v>150</v>
      </c>
      <c r="N18" s="303"/>
      <c r="O18" s="302">
        <v>42985</v>
      </c>
      <c r="P18" s="259"/>
      <c r="Q18" s="191">
        <f>SUM(Y68,Y73)</f>
        <v>0</v>
      </c>
      <c r="R18" s="98" t="s">
        <v>38</v>
      </c>
      <c r="S18" s="82" t="s">
        <v>258</v>
      </c>
      <c r="X18" s="74" t="s">
        <v>11</v>
      </c>
      <c r="Y18" s="97"/>
      <c r="Z18" s="135">
        <f>SUM(AI20:AK20,AM20:AN20,AP20:AU20,AW20:BC20)</f>
        <v>0</v>
      </c>
      <c r="AA18" s="135">
        <f>SUM(BI20:CD20,CF20:CO20,CQ20)</f>
        <v>0</v>
      </c>
      <c r="AB18" s="135">
        <f t="shared" si="78"/>
        <v>0</v>
      </c>
      <c r="AC18" s="135">
        <f>SUM(EQ20:EX20,EZ20)</f>
        <v>0</v>
      </c>
      <c r="AD18" s="135">
        <f>SUM(FF20:FH20)</f>
        <v>0</v>
      </c>
      <c r="AF18" s="159" t="s">
        <v>158</v>
      </c>
      <c r="AG18" s="160" t="s">
        <v>159</v>
      </c>
      <c r="AH18" s="114">
        <f>SUM(AI18:AK18,AM18:AN18,AP18:AU18,AW18:BC18,BI18:CD18,CF18:CO18,CQ18,CW18:CZ18,DB18:DD18,DF18:EH18,EK18,EL18:EN18,EQ18:EX18,EZ18,FF18:FH18)</f>
        <v>24</v>
      </c>
      <c r="AI18" s="259">
        <f t="shared" si="122"/>
        <v>0</v>
      </c>
      <c r="AJ18" s="259">
        <f t="shared" si="123"/>
        <v>0</v>
      </c>
      <c r="AK18" s="259">
        <f t="shared" si="124"/>
        <v>0</v>
      </c>
      <c r="AL18" s="136">
        <f t="shared" si="125"/>
        <v>0</v>
      </c>
      <c r="AM18" s="259">
        <f t="shared" si="126"/>
        <v>7</v>
      </c>
      <c r="AN18" s="259">
        <f t="shared" si="127"/>
        <v>0</v>
      </c>
      <c r="AO18" s="259">
        <f t="shared" si="128"/>
        <v>7</v>
      </c>
      <c r="AP18" s="259">
        <f t="shared" si="129"/>
        <v>0</v>
      </c>
      <c r="AQ18" s="259">
        <f t="shared" si="130"/>
        <v>0</v>
      </c>
      <c r="AR18" s="259">
        <f t="shared" si="131"/>
        <v>0</v>
      </c>
      <c r="AS18" s="259">
        <f t="shared" si="132"/>
        <v>0</v>
      </c>
      <c r="AT18" s="259">
        <f t="shared" si="133"/>
        <v>0</v>
      </c>
      <c r="AU18" s="259">
        <f t="shared" si="134"/>
        <v>0</v>
      </c>
      <c r="AV18" s="259">
        <f t="shared" si="135"/>
        <v>0</v>
      </c>
      <c r="AW18" s="259">
        <f t="shared" si="136"/>
        <v>0</v>
      </c>
      <c r="AX18" s="259">
        <f t="shared" si="137"/>
        <v>0</v>
      </c>
      <c r="AY18" s="259">
        <f t="shared" si="138"/>
        <v>0</v>
      </c>
      <c r="AZ18" s="259">
        <f t="shared" si="139"/>
        <v>0</v>
      </c>
      <c r="BA18" s="259">
        <f t="shared" si="140"/>
        <v>0</v>
      </c>
      <c r="BB18" s="259">
        <f t="shared" si="141"/>
        <v>0</v>
      </c>
      <c r="BC18" s="263">
        <f t="shared" si="142"/>
        <v>0</v>
      </c>
      <c r="BD18" s="259">
        <f t="shared" si="143"/>
        <v>0</v>
      </c>
      <c r="BE18" s="259"/>
      <c r="BF18" s="259"/>
      <c r="BG18" s="259"/>
      <c r="BH18" s="259"/>
      <c r="BI18" s="259">
        <f t="shared" si="144"/>
        <v>0</v>
      </c>
      <c r="BJ18" s="259">
        <f t="shared" si="145"/>
        <v>0</v>
      </c>
      <c r="BK18" s="259">
        <f t="shared" si="146"/>
        <v>0</v>
      </c>
      <c r="BL18" s="259">
        <f t="shared" si="147"/>
        <v>0</v>
      </c>
      <c r="BM18" s="259">
        <f t="shared" si="148"/>
        <v>0</v>
      </c>
      <c r="BN18" s="259">
        <f t="shared" si="149"/>
        <v>0</v>
      </c>
      <c r="BO18" s="259">
        <f t="shared" si="150"/>
        <v>0</v>
      </c>
      <c r="BP18" s="259">
        <f t="shared" si="151"/>
        <v>0</v>
      </c>
      <c r="BQ18" s="259">
        <f t="shared" si="152"/>
        <v>0</v>
      </c>
      <c r="BR18" s="259">
        <f t="shared" si="153"/>
        <v>0</v>
      </c>
      <c r="BS18" s="259">
        <f t="shared" si="154"/>
        <v>0</v>
      </c>
      <c r="BT18" s="259">
        <f t="shared" si="155"/>
        <v>0</v>
      </c>
      <c r="BU18" s="259">
        <f t="shared" si="156"/>
        <v>0</v>
      </c>
      <c r="BV18" s="259">
        <f t="shared" si="157"/>
        <v>0</v>
      </c>
      <c r="BW18" s="259">
        <f t="shared" si="158"/>
        <v>0</v>
      </c>
      <c r="BX18" s="259">
        <f t="shared" si="159"/>
        <v>0</v>
      </c>
      <c r="BY18" s="259">
        <f t="shared" si="160"/>
        <v>0</v>
      </c>
      <c r="BZ18" s="259">
        <f t="shared" si="161"/>
        <v>0</v>
      </c>
      <c r="CA18" s="259">
        <f t="shared" si="162"/>
        <v>0</v>
      </c>
      <c r="CB18" s="259">
        <f t="shared" si="163"/>
        <v>0</v>
      </c>
      <c r="CC18" s="259">
        <f t="shared" si="164"/>
        <v>0</v>
      </c>
      <c r="CD18" s="259">
        <f t="shared" si="165"/>
        <v>0</v>
      </c>
      <c r="CE18" s="259">
        <f t="shared" si="166"/>
        <v>0</v>
      </c>
      <c r="CF18" s="259">
        <f t="shared" si="167"/>
        <v>0</v>
      </c>
      <c r="CG18" s="259">
        <f t="shared" si="168"/>
        <v>0</v>
      </c>
      <c r="CH18" s="259">
        <f t="shared" si="169"/>
        <v>0</v>
      </c>
      <c r="CI18" s="259">
        <f t="shared" si="170"/>
        <v>1</v>
      </c>
      <c r="CJ18" s="259">
        <f t="shared" si="171"/>
        <v>0</v>
      </c>
      <c r="CK18" s="259">
        <f t="shared" si="172"/>
        <v>0</v>
      </c>
      <c r="CL18" s="259">
        <f t="shared" si="173"/>
        <v>0</v>
      </c>
      <c r="CM18" s="259">
        <f t="shared" si="174"/>
        <v>0</v>
      </c>
      <c r="CN18" s="259">
        <f t="shared" si="175"/>
        <v>0</v>
      </c>
      <c r="CO18" s="259">
        <f t="shared" si="176"/>
        <v>0</v>
      </c>
      <c r="CP18" s="259">
        <f t="shared" si="177"/>
        <v>0</v>
      </c>
      <c r="CQ18" s="259">
        <f t="shared" si="178"/>
        <v>7</v>
      </c>
      <c r="CR18" s="259"/>
      <c r="CS18" s="259"/>
      <c r="CT18" s="259"/>
      <c r="CU18" s="259"/>
      <c r="CV18" s="259"/>
      <c r="CW18" s="259">
        <f t="shared" si="179"/>
        <v>0</v>
      </c>
      <c r="CX18" s="259">
        <f t="shared" si="180"/>
        <v>0</v>
      </c>
      <c r="CY18" s="259">
        <f t="shared" si="181"/>
        <v>0</v>
      </c>
      <c r="CZ18" s="259">
        <f t="shared" si="182"/>
        <v>0</v>
      </c>
      <c r="DA18" s="259">
        <f t="shared" si="183"/>
        <v>0</v>
      </c>
      <c r="DB18" s="259">
        <f t="shared" si="184"/>
        <v>0</v>
      </c>
      <c r="DC18" s="259">
        <f t="shared" si="185"/>
        <v>0</v>
      </c>
      <c r="DD18" s="259">
        <f t="shared" si="186"/>
        <v>0</v>
      </c>
      <c r="DE18" s="259">
        <f t="shared" si="187"/>
        <v>0</v>
      </c>
      <c r="DF18" s="259">
        <f t="shared" si="188"/>
        <v>0</v>
      </c>
      <c r="DG18" s="259">
        <f t="shared" si="189"/>
        <v>0</v>
      </c>
      <c r="DH18" s="259">
        <f t="shared" si="190"/>
        <v>0</v>
      </c>
      <c r="DI18" s="259">
        <f t="shared" si="191"/>
        <v>0</v>
      </c>
      <c r="DJ18" s="259">
        <f t="shared" si="192"/>
        <v>0</v>
      </c>
      <c r="DK18" s="259">
        <f t="shared" si="193"/>
        <v>0</v>
      </c>
      <c r="DL18" s="259">
        <f t="shared" si="194"/>
        <v>0</v>
      </c>
      <c r="DM18" s="259">
        <f t="shared" si="195"/>
        <v>0</v>
      </c>
      <c r="DN18" s="259">
        <f t="shared" si="196"/>
        <v>0</v>
      </c>
      <c r="DO18" s="259">
        <f t="shared" si="197"/>
        <v>0</v>
      </c>
      <c r="DP18" s="259">
        <f t="shared" si="198"/>
        <v>0</v>
      </c>
      <c r="DQ18" s="259">
        <f t="shared" si="199"/>
        <v>0</v>
      </c>
      <c r="DR18" s="259">
        <f t="shared" si="200"/>
        <v>0</v>
      </c>
      <c r="DS18" s="259">
        <f t="shared" si="201"/>
        <v>0</v>
      </c>
      <c r="DT18" s="259">
        <f t="shared" si="202"/>
        <v>0</v>
      </c>
      <c r="DU18" s="259">
        <f t="shared" si="203"/>
        <v>0</v>
      </c>
      <c r="DV18" s="259">
        <f t="shared" si="204"/>
        <v>0</v>
      </c>
      <c r="DW18" s="259">
        <f t="shared" si="205"/>
        <v>0</v>
      </c>
      <c r="DX18" s="259">
        <f t="shared" si="206"/>
        <v>0</v>
      </c>
      <c r="DY18" s="259">
        <f t="shared" si="207"/>
        <v>0</v>
      </c>
      <c r="DZ18" s="259">
        <f t="shared" si="208"/>
        <v>0</v>
      </c>
      <c r="EA18" s="259">
        <f t="shared" si="209"/>
        <v>0</v>
      </c>
      <c r="EB18" s="259">
        <f t="shared" si="210"/>
        <v>0</v>
      </c>
      <c r="EC18" s="263">
        <f t="shared" si="211"/>
        <v>0</v>
      </c>
      <c r="ED18" s="259">
        <f t="shared" si="212"/>
        <v>0</v>
      </c>
      <c r="EE18" s="259">
        <f t="shared" si="213"/>
        <v>0</v>
      </c>
      <c r="EF18" s="259">
        <f t="shared" si="214"/>
        <v>0</v>
      </c>
      <c r="EG18" s="259">
        <f t="shared" si="215"/>
        <v>0</v>
      </c>
      <c r="EH18" s="259">
        <f t="shared" si="216"/>
        <v>0</v>
      </c>
      <c r="EI18" s="259">
        <f t="shared" si="217"/>
        <v>0</v>
      </c>
      <c r="EJ18" s="259">
        <f t="shared" si="114"/>
        <v>0</v>
      </c>
      <c r="EK18" s="259">
        <f t="shared" si="218"/>
        <v>0</v>
      </c>
      <c r="EL18" s="259">
        <f t="shared" si="219"/>
        <v>0</v>
      </c>
      <c r="EM18" s="259">
        <f t="shared" si="220"/>
        <v>0</v>
      </c>
      <c r="EN18" s="259">
        <f t="shared" si="221"/>
        <v>0</v>
      </c>
      <c r="EO18" s="259">
        <f t="shared" si="222"/>
        <v>0</v>
      </c>
      <c r="EP18" s="259"/>
      <c r="EQ18" s="259">
        <f t="shared" si="223"/>
        <v>0</v>
      </c>
      <c r="ER18" s="259">
        <f t="shared" si="224"/>
        <v>0</v>
      </c>
      <c r="ES18" s="259">
        <f t="shared" si="225"/>
        <v>0</v>
      </c>
      <c r="ET18" s="259">
        <f t="shared" si="226"/>
        <v>0</v>
      </c>
      <c r="EU18" s="259">
        <f t="shared" si="227"/>
        <v>3</v>
      </c>
      <c r="EV18" s="259">
        <f t="shared" si="228"/>
        <v>0</v>
      </c>
      <c r="EW18" s="259">
        <f t="shared" si="229"/>
        <v>0</v>
      </c>
      <c r="EX18" s="259">
        <f t="shared" si="230"/>
        <v>0</v>
      </c>
      <c r="EY18" s="259">
        <f t="shared" si="231"/>
        <v>0</v>
      </c>
      <c r="EZ18" s="259">
        <f t="shared" si="232"/>
        <v>0</v>
      </c>
      <c r="FA18" s="259"/>
      <c r="FB18" s="259"/>
      <c r="FC18" s="259"/>
      <c r="FD18" s="259"/>
      <c r="FE18" s="259"/>
      <c r="FF18" s="259">
        <f t="shared" si="233"/>
        <v>0</v>
      </c>
      <c r="FG18" s="259">
        <f t="shared" si="234"/>
        <v>6</v>
      </c>
      <c r="FH18" s="259">
        <f t="shared" si="235"/>
        <v>0</v>
      </c>
      <c r="FI18" s="259">
        <f t="shared" si="236"/>
        <v>6</v>
      </c>
      <c r="FL18" s="159" t="s">
        <v>158</v>
      </c>
      <c r="FM18" s="160" t="s">
        <v>159</v>
      </c>
    </row>
    <row r="19" spans="1:169" ht="15.75" thickBot="1" x14ac:dyDescent="0.3">
      <c r="A19" s="304">
        <v>17</v>
      </c>
      <c r="B19" s="299" t="s">
        <v>4</v>
      </c>
      <c r="C19" s="300" t="s">
        <v>5</v>
      </c>
      <c r="D19" s="299"/>
      <c r="E19" s="301"/>
      <c r="F19" s="301"/>
      <c r="G19" s="301"/>
      <c r="H19" s="299"/>
      <c r="I19" s="299"/>
      <c r="J19" s="299"/>
      <c r="K19" s="301"/>
      <c r="L19" s="302"/>
      <c r="M19" s="301" t="s">
        <v>150</v>
      </c>
      <c r="N19" s="303"/>
      <c r="O19" s="302">
        <v>42985</v>
      </c>
      <c r="P19" s="259"/>
      <c r="Q19" s="191">
        <f>Y76</f>
        <v>0</v>
      </c>
      <c r="R19" s="98" t="s">
        <v>96</v>
      </c>
      <c r="S19" s="82" t="s">
        <v>94</v>
      </c>
      <c r="X19" s="83" t="s">
        <v>12</v>
      </c>
      <c r="Y19" s="97">
        <f>COUNTIFS($B:$B,"PITTSBURGH",$C:$C,"HIAS")</f>
        <v>18</v>
      </c>
      <c r="Z19" s="135">
        <f>SUM(AI21:AK21,AM21:AN21,AP21:AU21,AW21:BC21)</f>
        <v>0</v>
      </c>
      <c r="AA19" s="135">
        <f>SUM(BI21:CD21,CF21:CO21,CQ21)</f>
        <v>9</v>
      </c>
      <c r="AB19" s="135">
        <f t="shared" si="78"/>
        <v>0</v>
      </c>
      <c r="AC19" s="135">
        <f>SUM(EQ21:EX21,EZ21)</f>
        <v>0</v>
      </c>
      <c r="AD19" s="135">
        <f>SUM(FF21:FH21)</f>
        <v>0</v>
      </c>
      <c r="AF19" s="159" t="s">
        <v>160</v>
      </c>
      <c r="AG19" s="160" t="s">
        <v>161</v>
      </c>
      <c r="AH19" s="114">
        <f>SUM(AI19:AK19,AM19:AN19,AP19:AU19,AW19:BC19,BI19:CD19,CF19:CO19,CQ19,CW19:CZ19,DB19:DD19,DF19:EH19,EK19,EL19:EN19,EQ19:EX19,EZ19,FF19:FH19)</f>
        <v>0</v>
      </c>
      <c r="AI19" s="259">
        <f t="shared" si="122"/>
        <v>0</v>
      </c>
      <c r="AJ19" s="259">
        <f t="shared" si="123"/>
        <v>0</v>
      </c>
      <c r="AK19" s="259">
        <f t="shared" si="124"/>
        <v>0</v>
      </c>
      <c r="AL19" s="136">
        <f t="shared" si="125"/>
        <v>0</v>
      </c>
      <c r="AM19" s="259">
        <f t="shared" si="126"/>
        <v>0</v>
      </c>
      <c r="AN19" s="259">
        <f t="shared" si="127"/>
        <v>0</v>
      </c>
      <c r="AO19" s="259">
        <f t="shared" si="128"/>
        <v>0</v>
      </c>
      <c r="AP19" s="259">
        <f t="shared" si="129"/>
        <v>0</v>
      </c>
      <c r="AQ19" s="259">
        <f t="shared" si="130"/>
        <v>0</v>
      </c>
      <c r="AR19" s="259">
        <f t="shared" si="131"/>
        <v>0</v>
      </c>
      <c r="AS19" s="259">
        <f t="shared" si="132"/>
        <v>0</v>
      </c>
      <c r="AT19" s="259">
        <f t="shared" si="133"/>
        <v>0</v>
      </c>
      <c r="AU19" s="259">
        <f t="shared" si="134"/>
        <v>0</v>
      </c>
      <c r="AV19" s="259">
        <f t="shared" si="135"/>
        <v>0</v>
      </c>
      <c r="AW19" s="259">
        <f t="shared" si="136"/>
        <v>0</v>
      </c>
      <c r="AX19" s="259">
        <f t="shared" si="137"/>
        <v>0</v>
      </c>
      <c r="AY19" s="259">
        <f t="shared" si="138"/>
        <v>0</v>
      </c>
      <c r="AZ19" s="259">
        <f t="shared" si="139"/>
        <v>0</v>
      </c>
      <c r="BA19" s="259">
        <f t="shared" si="140"/>
        <v>0</v>
      </c>
      <c r="BB19" s="259">
        <f t="shared" si="141"/>
        <v>0</v>
      </c>
      <c r="BC19" s="263">
        <f t="shared" si="142"/>
        <v>0</v>
      </c>
      <c r="BD19" s="259">
        <f t="shared" si="143"/>
        <v>0</v>
      </c>
      <c r="BE19" s="259"/>
      <c r="BF19" s="259"/>
      <c r="BG19" s="259"/>
      <c r="BH19" s="259"/>
      <c r="BI19" s="259">
        <f t="shared" si="144"/>
        <v>0</v>
      </c>
      <c r="BJ19" s="259">
        <f t="shared" si="145"/>
        <v>0</v>
      </c>
      <c r="BK19" s="259">
        <f t="shared" si="146"/>
        <v>0</v>
      </c>
      <c r="BL19" s="259">
        <f t="shared" si="147"/>
        <v>0</v>
      </c>
      <c r="BM19" s="259">
        <f t="shared" si="148"/>
        <v>0</v>
      </c>
      <c r="BN19" s="259">
        <f t="shared" si="149"/>
        <v>0</v>
      </c>
      <c r="BO19" s="259">
        <f t="shared" si="150"/>
        <v>0</v>
      </c>
      <c r="BP19" s="259">
        <f t="shared" si="151"/>
        <v>0</v>
      </c>
      <c r="BQ19" s="259">
        <f t="shared" si="152"/>
        <v>0</v>
      </c>
      <c r="BR19" s="259">
        <f t="shared" si="153"/>
        <v>0</v>
      </c>
      <c r="BS19" s="259">
        <f t="shared" si="154"/>
        <v>0</v>
      </c>
      <c r="BT19" s="259">
        <f t="shared" si="155"/>
        <v>0</v>
      </c>
      <c r="BU19" s="259">
        <f t="shared" si="156"/>
        <v>0</v>
      </c>
      <c r="BV19" s="259">
        <f t="shared" si="157"/>
        <v>0</v>
      </c>
      <c r="BW19" s="259">
        <f t="shared" si="158"/>
        <v>0</v>
      </c>
      <c r="BX19" s="259">
        <f t="shared" si="159"/>
        <v>0</v>
      </c>
      <c r="BY19" s="259">
        <f t="shared" si="160"/>
        <v>0</v>
      </c>
      <c r="BZ19" s="259">
        <f t="shared" si="161"/>
        <v>0</v>
      </c>
      <c r="CA19" s="259">
        <f t="shared" si="162"/>
        <v>0</v>
      </c>
      <c r="CB19" s="259">
        <f t="shared" si="163"/>
        <v>0</v>
      </c>
      <c r="CC19" s="259">
        <f t="shared" si="164"/>
        <v>0</v>
      </c>
      <c r="CD19" s="259">
        <f t="shared" si="165"/>
        <v>0</v>
      </c>
      <c r="CE19" s="259">
        <f t="shared" si="166"/>
        <v>0</v>
      </c>
      <c r="CF19" s="259">
        <f t="shared" si="167"/>
        <v>0</v>
      </c>
      <c r="CG19" s="259">
        <f t="shared" si="168"/>
        <v>0</v>
      </c>
      <c r="CH19" s="259">
        <f t="shared" si="169"/>
        <v>0</v>
      </c>
      <c r="CI19" s="259">
        <f t="shared" si="170"/>
        <v>0</v>
      </c>
      <c r="CJ19" s="259">
        <f t="shared" si="171"/>
        <v>0</v>
      </c>
      <c r="CK19" s="259">
        <f t="shared" si="172"/>
        <v>0</v>
      </c>
      <c r="CL19" s="259">
        <f t="shared" si="173"/>
        <v>0</v>
      </c>
      <c r="CM19" s="259">
        <f t="shared" si="174"/>
        <v>0</v>
      </c>
      <c r="CN19" s="259">
        <f t="shared" si="175"/>
        <v>0</v>
      </c>
      <c r="CO19" s="259">
        <f t="shared" si="176"/>
        <v>0</v>
      </c>
      <c r="CP19" s="259">
        <f t="shared" si="177"/>
        <v>0</v>
      </c>
      <c r="CQ19" s="259">
        <f t="shared" si="178"/>
        <v>0</v>
      </c>
      <c r="CR19" s="259"/>
      <c r="CS19" s="259"/>
      <c r="CT19" s="259"/>
      <c r="CU19" s="259"/>
      <c r="CV19" s="259"/>
      <c r="CW19" s="259">
        <f t="shared" si="179"/>
        <v>0</v>
      </c>
      <c r="CX19" s="259">
        <f t="shared" si="180"/>
        <v>0</v>
      </c>
      <c r="CY19" s="259">
        <f t="shared" si="181"/>
        <v>0</v>
      </c>
      <c r="CZ19" s="259">
        <f t="shared" si="182"/>
        <v>0</v>
      </c>
      <c r="DA19" s="259">
        <f t="shared" si="183"/>
        <v>0</v>
      </c>
      <c r="DB19" s="259">
        <f t="shared" si="184"/>
        <v>0</v>
      </c>
      <c r="DC19" s="259">
        <f t="shared" si="185"/>
        <v>0</v>
      </c>
      <c r="DD19" s="259">
        <f t="shared" si="186"/>
        <v>0</v>
      </c>
      <c r="DE19" s="259">
        <f t="shared" si="187"/>
        <v>0</v>
      </c>
      <c r="DF19" s="259">
        <f t="shared" si="188"/>
        <v>0</v>
      </c>
      <c r="DG19" s="259">
        <f t="shared" si="189"/>
        <v>0</v>
      </c>
      <c r="DH19" s="259">
        <f t="shared" si="190"/>
        <v>0</v>
      </c>
      <c r="DI19" s="259">
        <f t="shared" si="191"/>
        <v>0</v>
      </c>
      <c r="DJ19" s="259">
        <f t="shared" si="192"/>
        <v>0</v>
      </c>
      <c r="DK19" s="259">
        <f t="shared" si="193"/>
        <v>0</v>
      </c>
      <c r="DL19" s="259">
        <f t="shared" si="194"/>
        <v>0</v>
      </c>
      <c r="DM19" s="259">
        <f t="shared" si="195"/>
        <v>0</v>
      </c>
      <c r="DN19" s="259">
        <f t="shared" si="196"/>
        <v>0</v>
      </c>
      <c r="DO19" s="259">
        <f t="shared" si="197"/>
        <v>0</v>
      </c>
      <c r="DP19" s="259">
        <f t="shared" si="198"/>
        <v>0</v>
      </c>
      <c r="DQ19" s="259">
        <f t="shared" si="199"/>
        <v>0</v>
      </c>
      <c r="DR19" s="259">
        <f t="shared" si="200"/>
        <v>0</v>
      </c>
      <c r="DS19" s="259">
        <f t="shared" si="201"/>
        <v>0</v>
      </c>
      <c r="DT19" s="259">
        <f t="shared" si="202"/>
        <v>0</v>
      </c>
      <c r="DU19" s="259">
        <f t="shared" si="203"/>
        <v>0</v>
      </c>
      <c r="DV19" s="259">
        <f t="shared" si="204"/>
        <v>0</v>
      </c>
      <c r="DW19" s="259">
        <f t="shared" si="205"/>
        <v>0</v>
      </c>
      <c r="DX19" s="259">
        <f t="shared" si="206"/>
        <v>0</v>
      </c>
      <c r="DY19" s="259">
        <f t="shared" si="207"/>
        <v>0</v>
      </c>
      <c r="DZ19" s="259">
        <f t="shared" si="208"/>
        <v>0</v>
      </c>
      <c r="EA19" s="259">
        <f t="shared" si="209"/>
        <v>0</v>
      </c>
      <c r="EB19" s="259">
        <f t="shared" si="210"/>
        <v>0</v>
      </c>
      <c r="EC19" s="263">
        <f t="shared" si="211"/>
        <v>0</v>
      </c>
      <c r="ED19" s="259">
        <f t="shared" si="212"/>
        <v>0</v>
      </c>
      <c r="EE19" s="259">
        <f t="shared" si="213"/>
        <v>0</v>
      </c>
      <c r="EF19" s="259">
        <f t="shared" si="214"/>
        <v>0</v>
      </c>
      <c r="EG19" s="259">
        <f t="shared" si="215"/>
        <v>0</v>
      </c>
      <c r="EH19" s="259">
        <f t="shared" si="216"/>
        <v>0</v>
      </c>
      <c r="EI19" s="259">
        <f t="shared" si="217"/>
        <v>0</v>
      </c>
      <c r="EJ19" s="259">
        <f t="shared" si="114"/>
        <v>0</v>
      </c>
      <c r="EK19" s="259">
        <f t="shared" si="218"/>
        <v>0</v>
      </c>
      <c r="EL19" s="259">
        <f t="shared" si="219"/>
        <v>0</v>
      </c>
      <c r="EM19" s="259">
        <f t="shared" si="220"/>
        <v>0</v>
      </c>
      <c r="EN19" s="259">
        <f t="shared" si="221"/>
        <v>0</v>
      </c>
      <c r="EO19" s="259">
        <f t="shared" si="222"/>
        <v>0</v>
      </c>
      <c r="EP19" s="259"/>
      <c r="EQ19" s="259">
        <f t="shared" si="223"/>
        <v>0</v>
      </c>
      <c r="ER19" s="259">
        <f t="shared" si="224"/>
        <v>0</v>
      </c>
      <c r="ES19" s="259">
        <f t="shared" si="225"/>
        <v>0</v>
      </c>
      <c r="ET19" s="259">
        <f t="shared" si="226"/>
        <v>0</v>
      </c>
      <c r="EU19" s="259">
        <f t="shared" si="227"/>
        <v>0</v>
      </c>
      <c r="EV19" s="259">
        <f t="shared" si="228"/>
        <v>0</v>
      </c>
      <c r="EW19" s="259">
        <f t="shared" si="229"/>
        <v>0</v>
      </c>
      <c r="EX19" s="259">
        <f t="shared" si="230"/>
        <v>0</v>
      </c>
      <c r="EY19" s="259">
        <f t="shared" si="231"/>
        <v>0</v>
      </c>
      <c r="EZ19" s="259">
        <f t="shared" si="232"/>
        <v>0</v>
      </c>
      <c r="FA19" s="259"/>
      <c r="FB19" s="259"/>
      <c r="FC19" s="259"/>
      <c r="FD19" s="259"/>
      <c r="FE19" s="259"/>
      <c r="FF19" s="259">
        <f t="shared" si="233"/>
        <v>0</v>
      </c>
      <c r="FG19" s="259">
        <f t="shared" si="234"/>
        <v>0</v>
      </c>
      <c r="FH19" s="259">
        <f t="shared" si="235"/>
        <v>0</v>
      </c>
      <c r="FI19" s="259">
        <f t="shared" si="236"/>
        <v>0</v>
      </c>
      <c r="FL19" s="159" t="s">
        <v>160</v>
      </c>
      <c r="FM19" s="160" t="s">
        <v>161</v>
      </c>
    </row>
    <row r="20" spans="1:169" ht="15.75" thickBot="1" x14ac:dyDescent="0.3">
      <c r="A20" s="304">
        <v>18</v>
      </c>
      <c r="B20" s="299" t="s">
        <v>4</v>
      </c>
      <c r="C20" s="300" t="s">
        <v>5</v>
      </c>
      <c r="D20" s="299"/>
      <c r="E20" s="301"/>
      <c r="F20" s="301"/>
      <c r="G20" s="301"/>
      <c r="H20" s="299"/>
      <c r="I20" s="299"/>
      <c r="J20" s="299"/>
      <c r="K20" s="301"/>
      <c r="L20" s="302"/>
      <c r="M20" s="301" t="s">
        <v>150</v>
      </c>
      <c r="N20" s="303"/>
      <c r="O20" s="302">
        <v>42985</v>
      </c>
      <c r="P20" s="259"/>
      <c r="Q20" s="191">
        <f>SUM(Y77,Y90,Y62)</f>
        <v>2</v>
      </c>
      <c r="R20" s="98" t="s">
        <v>39</v>
      </c>
      <c r="S20" s="190" t="s">
        <v>778</v>
      </c>
      <c r="X20" s="83" t="s">
        <v>109</v>
      </c>
      <c r="Y20" s="97">
        <f>COUNTIFS($B:$B,"CASTLE SHANNON",$C:$C,"HIAS")</f>
        <v>0</v>
      </c>
      <c r="Z20" s="135">
        <f>SUM(AI22:AK22,AM22:AN22,AP22:AU22,AW22:BC22)</f>
        <v>0</v>
      </c>
      <c r="AA20" s="135">
        <f>SUM(BI22:CD22,CF22:CO22,CQ22)</f>
        <v>0</v>
      </c>
      <c r="AB20" s="135">
        <f t="shared" si="78"/>
        <v>0</v>
      </c>
      <c r="AC20" s="135">
        <f>SUM(EQ22:EX22,EZ22)</f>
        <v>0</v>
      </c>
      <c r="AD20" s="135">
        <f>SUM(FF22:FH22)</f>
        <v>0</v>
      </c>
      <c r="AF20" s="159" t="s">
        <v>162</v>
      </c>
      <c r="AG20" s="160" t="s">
        <v>163</v>
      </c>
      <c r="AH20" s="114">
        <f>SUM(AI20:AK20,AM20:AN20,AP20:AU20,AW20:BC20,BI20:CD20,CF20:CO20,CQ20,CW20:CZ20,DB20:DD20,DF20:EH20,EK20,EL20:EN20,EQ20:EX20,EZ20,FF20:FH20)</f>
        <v>0</v>
      </c>
      <c r="AI20" s="259">
        <f t="shared" si="122"/>
        <v>0</v>
      </c>
      <c r="AJ20" s="259">
        <f t="shared" si="123"/>
        <v>0</v>
      </c>
      <c r="AK20" s="259">
        <f t="shared" si="124"/>
        <v>0</v>
      </c>
      <c r="AL20" s="136">
        <f t="shared" si="125"/>
        <v>0</v>
      </c>
      <c r="AM20" s="259">
        <f t="shared" si="126"/>
        <v>0</v>
      </c>
      <c r="AN20" s="259">
        <f t="shared" si="127"/>
        <v>0</v>
      </c>
      <c r="AO20" s="259">
        <f t="shared" si="128"/>
        <v>0</v>
      </c>
      <c r="AP20" s="259">
        <f t="shared" si="129"/>
        <v>0</v>
      </c>
      <c r="AQ20" s="259">
        <f t="shared" si="130"/>
        <v>0</v>
      </c>
      <c r="AR20" s="259">
        <f t="shared" si="131"/>
        <v>0</v>
      </c>
      <c r="AS20" s="259">
        <f t="shared" si="132"/>
        <v>0</v>
      </c>
      <c r="AT20" s="259">
        <f t="shared" si="133"/>
        <v>0</v>
      </c>
      <c r="AU20" s="259">
        <f t="shared" si="134"/>
        <v>0</v>
      </c>
      <c r="AV20" s="259">
        <f t="shared" si="135"/>
        <v>0</v>
      </c>
      <c r="AW20" s="259">
        <f t="shared" si="136"/>
        <v>0</v>
      </c>
      <c r="AX20" s="259">
        <f t="shared" si="137"/>
        <v>0</v>
      </c>
      <c r="AY20" s="259">
        <f t="shared" si="138"/>
        <v>0</v>
      </c>
      <c r="AZ20" s="259">
        <f t="shared" si="139"/>
        <v>0</v>
      </c>
      <c r="BA20" s="259">
        <f t="shared" si="140"/>
        <v>0</v>
      </c>
      <c r="BB20" s="259">
        <f t="shared" si="141"/>
        <v>0</v>
      </c>
      <c r="BC20" s="263">
        <f t="shared" si="142"/>
        <v>0</v>
      </c>
      <c r="BD20" s="259">
        <f t="shared" si="143"/>
        <v>0</v>
      </c>
      <c r="BE20" s="259"/>
      <c r="BF20" s="259"/>
      <c r="BG20" s="259"/>
      <c r="BH20" s="259"/>
      <c r="BI20" s="259">
        <f t="shared" si="144"/>
        <v>0</v>
      </c>
      <c r="BJ20" s="259">
        <f t="shared" si="145"/>
        <v>0</v>
      </c>
      <c r="BK20" s="259">
        <f t="shared" si="146"/>
        <v>0</v>
      </c>
      <c r="BL20" s="259">
        <f t="shared" si="147"/>
        <v>0</v>
      </c>
      <c r="BM20" s="259">
        <f t="shared" si="148"/>
        <v>0</v>
      </c>
      <c r="BN20" s="259">
        <f t="shared" si="149"/>
        <v>0</v>
      </c>
      <c r="BO20" s="259">
        <f t="shared" si="150"/>
        <v>0</v>
      </c>
      <c r="BP20" s="259">
        <f t="shared" si="151"/>
        <v>0</v>
      </c>
      <c r="BQ20" s="259">
        <f t="shared" si="152"/>
        <v>0</v>
      </c>
      <c r="BR20" s="259">
        <f t="shared" si="153"/>
        <v>0</v>
      </c>
      <c r="BS20" s="259">
        <f t="shared" si="154"/>
        <v>0</v>
      </c>
      <c r="BT20" s="259">
        <f t="shared" si="155"/>
        <v>0</v>
      </c>
      <c r="BU20" s="259">
        <f t="shared" si="156"/>
        <v>0</v>
      </c>
      <c r="BV20" s="259">
        <f t="shared" si="157"/>
        <v>0</v>
      </c>
      <c r="BW20" s="259">
        <f t="shared" si="158"/>
        <v>0</v>
      </c>
      <c r="BX20" s="259">
        <f t="shared" si="159"/>
        <v>0</v>
      </c>
      <c r="BY20" s="259">
        <f t="shared" si="160"/>
        <v>0</v>
      </c>
      <c r="BZ20" s="259">
        <f t="shared" si="161"/>
        <v>0</v>
      </c>
      <c r="CA20" s="259">
        <f t="shared" si="162"/>
        <v>0</v>
      </c>
      <c r="CB20" s="259">
        <f t="shared" si="163"/>
        <v>0</v>
      </c>
      <c r="CC20" s="259">
        <f t="shared" si="164"/>
        <v>0</v>
      </c>
      <c r="CD20" s="259">
        <f t="shared" si="165"/>
        <v>0</v>
      </c>
      <c r="CE20" s="259">
        <f t="shared" si="166"/>
        <v>0</v>
      </c>
      <c r="CF20" s="259">
        <f t="shared" si="167"/>
        <v>0</v>
      </c>
      <c r="CG20" s="259">
        <f t="shared" si="168"/>
        <v>0</v>
      </c>
      <c r="CH20" s="259">
        <f t="shared" si="169"/>
        <v>0</v>
      </c>
      <c r="CI20" s="259">
        <f t="shared" si="170"/>
        <v>0</v>
      </c>
      <c r="CJ20" s="259">
        <f t="shared" si="171"/>
        <v>0</v>
      </c>
      <c r="CK20" s="259">
        <f t="shared" si="172"/>
        <v>0</v>
      </c>
      <c r="CL20" s="259">
        <f t="shared" si="173"/>
        <v>0</v>
      </c>
      <c r="CM20" s="259">
        <f t="shared" si="174"/>
        <v>0</v>
      </c>
      <c r="CN20" s="259">
        <f t="shared" si="175"/>
        <v>0</v>
      </c>
      <c r="CO20" s="259">
        <f t="shared" si="176"/>
        <v>0</v>
      </c>
      <c r="CP20" s="259">
        <f t="shared" si="177"/>
        <v>0</v>
      </c>
      <c r="CQ20" s="259">
        <f t="shared" si="178"/>
        <v>0</v>
      </c>
      <c r="CR20" s="259"/>
      <c r="CS20" s="259"/>
      <c r="CT20" s="259"/>
      <c r="CU20" s="259"/>
      <c r="CV20" s="259"/>
      <c r="CW20" s="259">
        <f t="shared" si="179"/>
        <v>0</v>
      </c>
      <c r="CX20" s="259">
        <f t="shared" si="180"/>
        <v>0</v>
      </c>
      <c r="CY20" s="259">
        <f t="shared" si="181"/>
        <v>0</v>
      </c>
      <c r="CZ20" s="259">
        <f t="shared" si="182"/>
        <v>0</v>
      </c>
      <c r="DA20" s="259">
        <f t="shared" si="183"/>
        <v>0</v>
      </c>
      <c r="DB20" s="259">
        <f t="shared" si="184"/>
        <v>0</v>
      </c>
      <c r="DC20" s="259">
        <f t="shared" si="185"/>
        <v>0</v>
      </c>
      <c r="DD20" s="259">
        <f t="shared" si="186"/>
        <v>0</v>
      </c>
      <c r="DE20" s="259">
        <f t="shared" si="187"/>
        <v>0</v>
      </c>
      <c r="DF20" s="259">
        <f t="shared" si="188"/>
        <v>0</v>
      </c>
      <c r="DG20" s="259">
        <f t="shared" si="189"/>
        <v>0</v>
      </c>
      <c r="DH20" s="259">
        <f t="shared" si="190"/>
        <v>0</v>
      </c>
      <c r="DI20" s="259">
        <f t="shared" si="191"/>
        <v>0</v>
      </c>
      <c r="DJ20" s="259">
        <f t="shared" si="192"/>
        <v>0</v>
      </c>
      <c r="DK20" s="259">
        <f t="shared" si="193"/>
        <v>0</v>
      </c>
      <c r="DL20" s="259">
        <f t="shared" si="194"/>
        <v>0</v>
      </c>
      <c r="DM20" s="259">
        <f t="shared" si="195"/>
        <v>0</v>
      </c>
      <c r="DN20" s="259">
        <f t="shared" si="196"/>
        <v>0</v>
      </c>
      <c r="DO20" s="259">
        <f t="shared" si="197"/>
        <v>0</v>
      </c>
      <c r="DP20" s="259">
        <f t="shared" si="198"/>
        <v>0</v>
      </c>
      <c r="DQ20" s="259">
        <f t="shared" si="199"/>
        <v>0</v>
      </c>
      <c r="DR20" s="259">
        <f t="shared" si="200"/>
        <v>0</v>
      </c>
      <c r="DS20" s="259">
        <f t="shared" si="201"/>
        <v>0</v>
      </c>
      <c r="DT20" s="259">
        <f t="shared" si="202"/>
        <v>0</v>
      </c>
      <c r="DU20" s="259">
        <f t="shared" si="203"/>
        <v>0</v>
      </c>
      <c r="DV20" s="259">
        <f t="shared" si="204"/>
        <v>0</v>
      </c>
      <c r="DW20" s="259">
        <f t="shared" si="205"/>
        <v>0</v>
      </c>
      <c r="DX20" s="259">
        <f t="shared" si="206"/>
        <v>0</v>
      </c>
      <c r="DY20" s="259">
        <f t="shared" si="207"/>
        <v>0</v>
      </c>
      <c r="DZ20" s="259">
        <f t="shared" si="208"/>
        <v>0</v>
      </c>
      <c r="EA20" s="259">
        <f t="shared" si="209"/>
        <v>0</v>
      </c>
      <c r="EB20" s="259">
        <f t="shared" si="210"/>
        <v>0</v>
      </c>
      <c r="EC20" s="263">
        <f t="shared" si="211"/>
        <v>0</v>
      </c>
      <c r="ED20" s="259">
        <f t="shared" si="212"/>
        <v>0</v>
      </c>
      <c r="EE20" s="259">
        <f t="shared" si="213"/>
        <v>0</v>
      </c>
      <c r="EF20" s="259">
        <f t="shared" si="214"/>
        <v>0</v>
      </c>
      <c r="EG20" s="259">
        <f t="shared" si="215"/>
        <v>0</v>
      </c>
      <c r="EH20" s="259">
        <f t="shared" si="216"/>
        <v>0</v>
      </c>
      <c r="EI20" s="259">
        <f t="shared" si="217"/>
        <v>0</v>
      </c>
      <c r="EJ20" s="259">
        <f t="shared" si="114"/>
        <v>0</v>
      </c>
      <c r="EK20" s="259">
        <f t="shared" si="218"/>
        <v>0</v>
      </c>
      <c r="EL20" s="259">
        <f t="shared" si="219"/>
        <v>0</v>
      </c>
      <c r="EM20" s="259">
        <f t="shared" si="220"/>
        <v>0</v>
      </c>
      <c r="EN20" s="259">
        <f t="shared" si="221"/>
        <v>0</v>
      </c>
      <c r="EO20" s="259">
        <f t="shared" si="222"/>
        <v>0</v>
      </c>
      <c r="EP20" s="259"/>
      <c r="EQ20" s="259">
        <f t="shared" si="223"/>
        <v>0</v>
      </c>
      <c r="ER20" s="259">
        <f t="shared" si="224"/>
        <v>0</v>
      </c>
      <c r="ES20" s="259">
        <f t="shared" si="225"/>
        <v>0</v>
      </c>
      <c r="ET20" s="259">
        <f t="shared" si="226"/>
        <v>0</v>
      </c>
      <c r="EU20" s="259">
        <f t="shared" si="227"/>
        <v>0</v>
      </c>
      <c r="EV20" s="259">
        <f t="shared" si="228"/>
        <v>0</v>
      </c>
      <c r="EW20" s="259">
        <f t="shared" si="229"/>
        <v>0</v>
      </c>
      <c r="EX20" s="259">
        <f t="shared" si="230"/>
        <v>0</v>
      </c>
      <c r="EY20" s="259">
        <f t="shared" si="231"/>
        <v>0</v>
      </c>
      <c r="EZ20" s="259">
        <f t="shared" si="232"/>
        <v>0</v>
      </c>
      <c r="FA20" s="259"/>
      <c r="FB20" s="259"/>
      <c r="FC20" s="259"/>
      <c r="FD20" s="259"/>
      <c r="FE20" s="259"/>
      <c r="FF20" s="259">
        <f t="shared" si="233"/>
        <v>0</v>
      </c>
      <c r="FG20" s="259">
        <f t="shared" si="234"/>
        <v>0</v>
      </c>
      <c r="FH20" s="259">
        <f t="shared" si="235"/>
        <v>0</v>
      </c>
      <c r="FI20" s="259">
        <f t="shared" si="236"/>
        <v>0</v>
      </c>
      <c r="FL20" s="159" t="s">
        <v>162</v>
      </c>
      <c r="FM20" s="160" t="s">
        <v>163</v>
      </c>
    </row>
    <row r="21" spans="1:169" ht="15.75" thickBot="1" x14ac:dyDescent="0.3">
      <c r="A21" s="304">
        <v>19</v>
      </c>
      <c r="B21" s="299" t="s">
        <v>4</v>
      </c>
      <c r="C21" s="300" t="s">
        <v>5</v>
      </c>
      <c r="D21" s="299"/>
      <c r="E21" s="301"/>
      <c r="F21" s="301"/>
      <c r="G21" s="301"/>
      <c r="H21" s="299"/>
      <c r="I21" s="299"/>
      <c r="J21" s="299"/>
      <c r="K21" s="301"/>
      <c r="L21" s="302"/>
      <c r="M21" s="301" t="s">
        <v>150</v>
      </c>
      <c r="N21" s="303"/>
      <c r="O21" s="302">
        <v>42985</v>
      </c>
      <c r="P21" s="259"/>
      <c r="S21" s="82"/>
      <c r="X21" s="94"/>
      <c r="Y21" s="97"/>
      <c r="Z21" s="135">
        <f>SUM(AI23:AK23,AM23:AN23,AP23:AU23,AW23:BC23)</f>
        <v>0</v>
      </c>
      <c r="AA21" s="135">
        <f>SUM(BI23:CD23,CF23:CO23,CQ23)</f>
        <v>0</v>
      </c>
      <c r="AB21" s="135">
        <f t="shared" si="78"/>
        <v>0</v>
      </c>
      <c r="AC21" s="135">
        <f>SUM(EQ23:EX23,EZ23)</f>
        <v>0</v>
      </c>
      <c r="AD21" s="135">
        <f>SUM(FF23:FH23)</f>
        <v>0</v>
      </c>
      <c r="AF21" s="159" t="s">
        <v>164</v>
      </c>
      <c r="AG21" s="160" t="s">
        <v>165</v>
      </c>
      <c r="AH21" s="114">
        <f>SUM(AI21:AK21,AM21:AN21,AP21:AU21,AW21:BC21,BI21:CD21,CF21:CO21,CQ21,CW21:CZ21,DB21:DD21,DF21:EH21,EK21,EL21:EN21,EQ21:EX21,EZ21,FF21:FH21)</f>
        <v>9</v>
      </c>
      <c r="AI21" s="259">
        <f t="shared" si="122"/>
        <v>0</v>
      </c>
      <c r="AJ21" s="259">
        <f t="shared" si="123"/>
        <v>0</v>
      </c>
      <c r="AK21" s="259">
        <f t="shared" si="124"/>
        <v>0</v>
      </c>
      <c r="AL21" s="136">
        <f t="shared" si="125"/>
        <v>0</v>
      </c>
      <c r="AM21" s="259">
        <f t="shared" si="126"/>
        <v>0</v>
      </c>
      <c r="AN21" s="259">
        <f t="shared" si="127"/>
        <v>0</v>
      </c>
      <c r="AO21" s="259">
        <f t="shared" si="128"/>
        <v>0</v>
      </c>
      <c r="AP21" s="259">
        <f t="shared" si="129"/>
        <v>0</v>
      </c>
      <c r="AQ21" s="259">
        <f t="shared" si="130"/>
        <v>0</v>
      </c>
      <c r="AR21" s="259">
        <f t="shared" si="131"/>
        <v>0</v>
      </c>
      <c r="AS21" s="259">
        <f t="shared" si="132"/>
        <v>0</v>
      </c>
      <c r="AT21" s="259">
        <f t="shared" si="133"/>
        <v>0</v>
      </c>
      <c r="AU21" s="259">
        <f t="shared" si="134"/>
        <v>0</v>
      </c>
      <c r="AV21" s="259">
        <f t="shared" si="135"/>
        <v>0</v>
      </c>
      <c r="AW21" s="259">
        <f t="shared" si="136"/>
        <v>0</v>
      </c>
      <c r="AX21" s="259">
        <f t="shared" si="137"/>
        <v>0</v>
      </c>
      <c r="AY21" s="259">
        <f t="shared" si="138"/>
        <v>0</v>
      </c>
      <c r="AZ21" s="259">
        <f t="shared" si="139"/>
        <v>0</v>
      </c>
      <c r="BA21" s="259">
        <f t="shared" si="140"/>
        <v>0</v>
      </c>
      <c r="BB21" s="259">
        <f t="shared" si="141"/>
        <v>0</v>
      </c>
      <c r="BC21" s="263">
        <f t="shared" si="142"/>
        <v>0</v>
      </c>
      <c r="BD21" s="259">
        <f t="shared" si="143"/>
        <v>0</v>
      </c>
      <c r="BE21" s="259"/>
      <c r="BF21" s="259"/>
      <c r="BG21" s="259"/>
      <c r="BH21" s="259"/>
      <c r="BI21" s="259">
        <f t="shared" si="144"/>
        <v>0</v>
      </c>
      <c r="BJ21" s="259">
        <f t="shared" si="145"/>
        <v>0</v>
      </c>
      <c r="BK21" s="259">
        <f t="shared" si="146"/>
        <v>0</v>
      </c>
      <c r="BL21" s="259">
        <f t="shared" si="147"/>
        <v>0</v>
      </c>
      <c r="BM21" s="259">
        <f t="shared" si="148"/>
        <v>0</v>
      </c>
      <c r="BN21" s="259">
        <f t="shared" si="149"/>
        <v>0</v>
      </c>
      <c r="BO21" s="259">
        <f t="shared" si="150"/>
        <v>0</v>
      </c>
      <c r="BP21" s="259">
        <f t="shared" si="151"/>
        <v>0</v>
      </c>
      <c r="BQ21" s="259">
        <f t="shared" si="152"/>
        <v>0</v>
      </c>
      <c r="BR21" s="259">
        <f t="shared" si="153"/>
        <v>0</v>
      </c>
      <c r="BS21" s="259">
        <f t="shared" si="154"/>
        <v>0</v>
      </c>
      <c r="BT21" s="259">
        <f t="shared" si="155"/>
        <v>0</v>
      </c>
      <c r="BU21" s="259">
        <f t="shared" si="156"/>
        <v>0</v>
      </c>
      <c r="BV21" s="259">
        <f t="shared" si="157"/>
        <v>0</v>
      </c>
      <c r="BW21" s="259">
        <f t="shared" si="158"/>
        <v>0</v>
      </c>
      <c r="BX21" s="259">
        <f t="shared" si="159"/>
        <v>0</v>
      </c>
      <c r="BY21" s="259">
        <f t="shared" si="160"/>
        <v>0</v>
      </c>
      <c r="BZ21" s="259">
        <f t="shared" si="161"/>
        <v>0</v>
      </c>
      <c r="CA21" s="259">
        <f t="shared" si="162"/>
        <v>0</v>
      </c>
      <c r="CB21" s="259">
        <f t="shared" si="163"/>
        <v>0</v>
      </c>
      <c r="CC21" s="259">
        <f t="shared" si="164"/>
        <v>0</v>
      </c>
      <c r="CD21" s="259">
        <f t="shared" si="165"/>
        <v>0</v>
      </c>
      <c r="CE21" s="259">
        <f t="shared" si="166"/>
        <v>0</v>
      </c>
      <c r="CF21" s="259">
        <f t="shared" si="167"/>
        <v>0</v>
      </c>
      <c r="CG21" s="259">
        <f t="shared" si="168"/>
        <v>0</v>
      </c>
      <c r="CH21" s="259">
        <f t="shared" si="169"/>
        <v>0</v>
      </c>
      <c r="CI21" s="259">
        <f t="shared" si="170"/>
        <v>9</v>
      </c>
      <c r="CJ21" s="259">
        <f t="shared" si="171"/>
        <v>0</v>
      </c>
      <c r="CK21" s="259">
        <f t="shared" si="172"/>
        <v>0</v>
      </c>
      <c r="CL21" s="259">
        <f t="shared" si="173"/>
        <v>0</v>
      </c>
      <c r="CM21" s="259">
        <f t="shared" si="174"/>
        <v>0</v>
      </c>
      <c r="CN21" s="259">
        <f t="shared" si="175"/>
        <v>0</v>
      </c>
      <c r="CO21" s="259">
        <f t="shared" si="176"/>
        <v>0</v>
      </c>
      <c r="CP21" s="259">
        <f t="shared" si="177"/>
        <v>0</v>
      </c>
      <c r="CQ21" s="259">
        <f t="shared" si="178"/>
        <v>0</v>
      </c>
      <c r="CR21" s="259"/>
      <c r="CS21" s="259"/>
      <c r="CT21" s="259"/>
      <c r="CU21" s="259"/>
      <c r="CV21" s="259"/>
      <c r="CW21" s="259">
        <f t="shared" si="179"/>
        <v>0</v>
      </c>
      <c r="CX21" s="259">
        <f t="shared" si="180"/>
        <v>0</v>
      </c>
      <c r="CY21" s="259">
        <f t="shared" si="181"/>
        <v>0</v>
      </c>
      <c r="CZ21" s="259">
        <f t="shared" si="182"/>
        <v>0</v>
      </c>
      <c r="DA21" s="259">
        <f t="shared" si="183"/>
        <v>0</v>
      </c>
      <c r="DB21" s="259">
        <f t="shared" si="184"/>
        <v>0</v>
      </c>
      <c r="DC21" s="259">
        <f t="shared" si="185"/>
        <v>0</v>
      </c>
      <c r="DD21" s="259">
        <f t="shared" si="186"/>
        <v>0</v>
      </c>
      <c r="DE21" s="259">
        <f t="shared" si="187"/>
        <v>0</v>
      </c>
      <c r="DF21" s="259">
        <f t="shared" si="188"/>
        <v>0</v>
      </c>
      <c r="DG21" s="259">
        <f t="shared" si="189"/>
        <v>0</v>
      </c>
      <c r="DH21" s="259">
        <f t="shared" si="190"/>
        <v>0</v>
      </c>
      <c r="DI21" s="259">
        <f t="shared" si="191"/>
        <v>0</v>
      </c>
      <c r="DJ21" s="259">
        <f t="shared" si="192"/>
        <v>0</v>
      </c>
      <c r="DK21" s="259">
        <f t="shared" si="193"/>
        <v>0</v>
      </c>
      <c r="DL21" s="259">
        <f t="shared" si="194"/>
        <v>0</v>
      </c>
      <c r="DM21" s="259">
        <f t="shared" si="195"/>
        <v>0</v>
      </c>
      <c r="DN21" s="259">
        <f t="shared" si="196"/>
        <v>0</v>
      </c>
      <c r="DO21" s="259">
        <f t="shared" si="197"/>
        <v>0</v>
      </c>
      <c r="DP21" s="259">
        <f t="shared" si="198"/>
        <v>0</v>
      </c>
      <c r="DQ21" s="259">
        <f t="shared" si="199"/>
        <v>0</v>
      </c>
      <c r="DR21" s="259">
        <f t="shared" si="200"/>
        <v>0</v>
      </c>
      <c r="DS21" s="259">
        <f t="shared" si="201"/>
        <v>0</v>
      </c>
      <c r="DT21" s="259">
        <f t="shared" si="202"/>
        <v>0</v>
      </c>
      <c r="DU21" s="259">
        <f t="shared" si="203"/>
        <v>0</v>
      </c>
      <c r="DV21" s="259">
        <f t="shared" si="204"/>
        <v>0</v>
      </c>
      <c r="DW21" s="259">
        <f t="shared" si="205"/>
        <v>0</v>
      </c>
      <c r="DX21" s="259">
        <f t="shared" si="206"/>
        <v>0</v>
      </c>
      <c r="DY21" s="259">
        <f t="shared" si="207"/>
        <v>0</v>
      </c>
      <c r="DZ21" s="259">
        <f t="shared" si="208"/>
        <v>0</v>
      </c>
      <c r="EA21" s="259">
        <f t="shared" si="209"/>
        <v>0</v>
      </c>
      <c r="EB21" s="259">
        <f t="shared" si="210"/>
        <v>0</v>
      </c>
      <c r="EC21" s="263">
        <f t="shared" si="211"/>
        <v>0</v>
      </c>
      <c r="ED21" s="259">
        <f t="shared" si="212"/>
        <v>0</v>
      </c>
      <c r="EE21" s="259">
        <f t="shared" si="213"/>
        <v>0</v>
      </c>
      <c r="EF21" s="259">
        <f t="shared" si="214"/>
        <v>0</v>
      </c>
      <c r="EG21" s="259">
        <f t="shared" si="215"/>
        <v>0</v>
      </c>
      <c r="EH21" s="259">
        <f t="shared" si="216"/>
        <v>0</v>
      </c>
      <c r="EI21" s="259">
        <f t="shared" si="217"/>
        <v>0</v>
      </c>
      <c r="EJ21" s="259">
        <f t="shared" si="114"/>
        <v>0</v>
      </c>
      <c r="EK21" s="259">
        <f t="shared" si="218"/>
        <v>0</v>
      </c>
      <c r="EL21" s="259">
        <f t="shared" si="219"/>
        <v>0</v>
      </c>
      <c r="EM21" s="259">
        <f t="shared" si="220"/>
        <v>0</v>
      </c>
      <c r="EN21" s="259">
        <f t="shared" si="221"/>
        <v>0</v>
      </c>
      <c r="EO21" s="259">
        <f t="shared" si="222"/>
        <v>0</v>
      </c>
      <c r="EP21" s="259"/>
      <c r="EQ21" s="259">
        <f t="shared" si="223"/>
        <v>0</v>
      </c>
      <c r="ER21" s="259">
        <f t="shared" si="224"/>
        <v>0</v>
      </c>
      <c r="ES21" s="259">
        <f t="shared" si="225"/>
        <v>0</v>
      </c>
      <c r="ET21" s="259">
        <f t="shared" si="226"/>
        <v>0</v>
      </c>
      <c r="EU21" s="259">
        <f t="shared" si="227"/>
        <v>0</v>
      </c>
      <c r="EV21" s="259">
        <f t="shared" si="228"/>
        <v>0</v>
      </c>
      <c r="EW21" s="259">
        <f t="shared" si="229"/>
        <v>0</v>
      </c>
      <c r="EX21" s="259">
        <f t="shared" si="230"/>
        <v>0</v>
      </c>
      <c r="EY21" s="259">
        <f t="shared" si="231"/>
        <v>0</v>
      </c>
      <c r="EZ21" s="259">
        <f t="shared" si="232"/>
        <v>0</v>
      </c>
      <c r="FA21" s="259"/>
      <c r="FB21" s="259"/>
      <c r="FC21" s="259"/>
      <c r="FD21" s="259"/>
      <c r="FE21" s="259"/>
      <c r="FF21" s="259">
        <f t="shared" si="233"/>
        <v>0</v>
      </c>
      <c r="FG21" s="259">
        <f t="shared" si="234"/>
        <v>0</v>
      </c>
      <c r="FH21" s="259">
        <f t="shared" si="235"/>
        <v>0</v>
      </c>
      <c r="FI21" s="259">
        <f t="shared" si="236"/>
        <v>0</v>
      </c>
      <c r="FL21" s="159" t="s">
        <v>164</v>
      </c>
      <c r="FM21" s="160" t="s">
        <v>165</v>
      </c>
    </row>
    <row r="22" spans="1:169" ht="15.75" thickBot="1" x14ac:dyDescent="0.3">
      <c r="A22" s="304">
        <v>20</v>
      </c>
      <c r="B22" s="299" t="s">
        <v>4</v>
      </c>
      <c r="C22" s="300" t="s">
        <v>5</v>
      </c>
      <c r="D22" s="299"/>
      <c r="E22" s="301"/>
      <c r="F22" s="301"/>
      <c r="G22" s="301"/>
      <c r="H22" s="299"/>
      <c r="I22" s="299"/>
      <c r="J22" s="299"/>
      <c r="K22" s="301"/>
      <c r="L22" s="302"/>
      <c r="M22" s="301" t="s">
        <v>159</v>
      </c>
      <c r="N22" s="303"/>
      <c r="O22" s="302">
        <v>43005</v>
      </c>
      <c r="P22" s="259"/>
      <c r="R22" s="81" t="s">
        <v>41</v>
      </c>
      <c r="S22" s="82"/>
      <c r="U22" s="81" t="s">
        <v>173</v>
      </c>
      <c r="V22" s="82"/>
      <c r="Y22" s="97"/>
      <c r="Z22" s="135">
        <f>SUM(AI24:AK24,AM24:AN24,AP24:AU24,AW24:BC24)</f>
        <v>0</v>
      </c>
      <c r="AA22" s="135">
        <f>SUM(BI24:CD24,CF24:CO24,CQ24)</f>
        <v>0</v>
      </c>
      <c r="AB22" s="135">
        <f t="shared" si="78"/>
        <v>0</v>
      </c>
      <c r="AC22" s="135">
        <f>SUM(EQ24:EX24,EZ24)</f>
        <v>0</v>
      </c>
      <c r="AD22" s="135">
        <f>SUM(FF24:FH24)</f>
        <v>0</v>
      </c>
      <c r="AF22" s="159" t="s">
        <v>167</v>
      </c>
      <c r="AG22" s="160" t="s">
        <v>168</v>
      </c>
      <c r="AH22" s="114">
        <f>SUM(AI22:AK22,AM22:AN22,AP22:AU22,AW22:BC22,BI22:CD22,CF22:CO22,CQ22,CW22:CZ22,DB22:DD22,DF22:EH22,EK22,EL22:EN22,EQ22:EX22,EZ22,FF22:FH22)</f>
        <v>0</v>
      </c>
      <c r="AI22" s="259">
        <f t="shared" si="122"/>
        <v>0</v>
      </c>
      <c r="AJ22" s="259">
        <f t="shared" si="123"/>
        <v>0</v>
      </c>
      <c r="AK22" s="259">
        <f t="shared" si="124"/>
        <v>0</v>
      </c>
      <c r="AL22" s="136">
        <f t="shared" si="125"/>
        <v>0</v>
      </c>
      <c r="AM22" s="259">
        <f t="shared" si="126"/>
        <v>0</v>
      </c>
      <c r="AN22" s="259">
        <f t="shared" si="127"/>
        <v>0</v>
      </c>
      <c r="AO22" s="259">
        <f t="shared" si="128"/>
        <v>0</v>
      </c>
      <c r="AP22" s="259">
        <f t="shared" si="129"/>
        <v>0</v>
      </c>
      <c r="AQ22" s="259">
        <f t="shared" si="130"/>
        <v>0</v>
      </c>
      <c r="AR22" s="259">
        <f t="shared" si="131"/>
        <v>0</v>
      </c>
      <c r="AS22" s="259">
        <f t="shared" si="132"/>
        <v>0</v>
      </c>
      <c r="AT22" s="259">
        <f t="shared" si="133"/>
        <v>0</v>
      </c>
      <c r="AU22" s="259">
        <f t="shared" si="134"/>
        <v>0</v>
      </c>
      <c r="AV22" s="259">
        <f t="shared" si="135"/>
        <v>0</v>
      </c>
      <c r="AW22" s="259">
        <f t="shared" si="136"/>
        <v>0</v>
      </c>
      <c r="AX22" s="259">
        <f t="shared" si="137"/>
        <v>0</v>
      </c>
      <c r="AY22" s="259">
        <f t="shared" si="138"/>
        <v>0</v>
      </c>
      <c r="AZ22" s="259">
        <f t="shared" si="139"/>
        <v>0</v>
      </c>
      <c r="BA22" s="259">
        <f t="shared" si="140"/>
        <v>0</v>
      </c>
      <c r="BB22" s="259">
        <f t="shared" si="141"/>
        <v>0</v>
      </c>
      <c r="BC22" s="263">
        <f t="shared" si="142"/>
        <v>0</v>
      </c>
      <c r="BD22" s="259">
        <f t="shared" si="143"/>
        <v>0</v>
      </c>
      <c r="BE22" s="259"/>
      <c r="BF22" s="259"/>
      <c r="BG22" s="259"/>
      <c r="BH22" s="259"/>
      <c r="BI22" s="259">
        <f t="shared" si="144"/>
        <v>0</v>
      </c>
      <c r="BJ22" s="259">
        <f t="shared" si="145"/>
        <v>0</v>
      </c>
      <c r="BK22" s="259">
        <f t="shared" si="146"/>
        <v>0</v>
      </c>
      <c r="BL22" s="259">
        <f t="shared" si="147"/>
        <v>0</v>
      </c>
      <c r="BM22" s="259">
        <f t="shared" si="148"/>
        <v>0</v>
      </c>
      <c r="BN22" s="259">
        <f t="shared" si="149"/>
        <v>0</v>
      </c>
      <c r="BO22" s="259">
        <f t="shared" si="150"/>
        <v>0</v>
      </c>
      <c r="BP22" s="259">
        <f t="shared" si="151"/>
        <v>0</v>
      </c>
      <c r="BQ22" s="259">
        <f t="shared" si="152"/>
        <v>0</v>
      </c>
      <c r="BR22" s="259">
        <f t="shared" si="153"/>
        <v>0</v>
      </c>
      <c r="BS22" s="259">
        <f t="shared" si="154"/>
        <v>0</v>
      </c>
      <c r="BT22" s="259">
        <f t="shared" si="155"/>
        <v>0</v>
      </c>
      <c r="BU22" s="259">
        <f t="shared" si="156"/>
        <v>0</v>
      </c>
      <c r="BV22" s="259">
        <f t="shared" si="157"/>
        <v>0</v>
      </c>
      <c r="BW22" s="259">
        <f t="shared" si="158"/>
        <v>0</v>
      </c>
      <c r="BX22" s="259">
        <f t="shared" si="159"/>
        <v>0</v>
      </c>
      <c r="BY22" s="259">
        <f t="shared" si="160"/>
        <v>0</v>
      </c>
      <c r="BZ22" s="259">
        <f t="shared" si="161"/>
        <v>0</v>
      </c>
      <c r="CA22" s="259">
        <f t="shared" si="162"/>
        <v>0</v>
      </c>
      <c r="CB22" s="259">
        <f t="shared" si="163"/>
        <v>0</v>
      </c>
      <c r="CC22" s="259">
        <f t="shared" si="164"/>
        <v>0</v>
      </c>
      <c r="CD22" s="259">
        <f t="shared" si="165"/>
        <v>0</v>
      </c>
      <c r="CE22" s="259">
        <f t="shared" si="166"/>
        <v>0</v>
      </c>
      <c r="CF22" s="259">
        <f t="shared" si="167"/>
        <v>0</v>
      </c>
      <c r="CG22" s="259">
        <f t="shared" si="168"/>
        <v>0</v>
      </c>
      <c r="CH22" s="259">
        <f t="shared" si="169"/>
        <v>0</v>
      </c>
      <c r="CI22" s="259">
        <f t="shared" si="170"/>
        <v>0</v>
      </c>
      <c r="CJ22" s="259">
        <f t="shared" si="171"/>
        <v>0</v>
      </c>
      <c r="CK22" s="259">
        <f t="shared" si="172"/>
        <v>0</v>
      </c>
      <c r="CL22" s="259">
        <f t="shared" si="173"/>
        <v>0</v>
      </c>
      <c r="CM22" s="259">
        <f t="shared" si="174"/>
        <v>0</v>
      </c>
      <c r="CN22" s="259">
        <f t="shared" si="175"/>
        <v>0</v>
      </c>
      <c r="CO22" s="259">
        <f t="shared" si="176"/>
        <v>0</v>
      </c>
      <c r="CP22" s="259">
        <f t="shared" si="177"/>
        <v>0</v>
      </c>
      <c r="CQ22" s="259">
        <f t="shared" si="178"/>
        <v>0</v>
      </c>
      <c r="CR22" s="259"/>
      <c r="CS22" s="259"/>
      <c r="CT22" s="259"/>
      <c r="CU22" s="259"/>
      <c r="CV22" s="259"/>
      <c r="CW22" s="259">
        <f t="shared" si="179"/>
        <v>0</v>
      </c>
      <c r="CX22" s="259">
        <f t="shared" si="180"/>
        <v>0</v>
      </c>
      <c r="CY22" s="259">
        <f t="shared" si="181"/>
        <v>0</v>
      </c>
      <c r="CZ22" s="259">
        <f t="shared" si="182"/>
        <v>0</v>
      </c>
      <c r="DA22" s="259">
        <f t="shared" si="183"/>
        <v>0</v>
      </c>
      <c r="DB22" s="259">
        <f t="shared" si="184"/>
        <v>0</v>
      </c>
      <c r="DC22" s="259">
        <f t="shared" si="185"/>
        <v>0</v>
      </c>
      <c r="DD22" s="259">
        <f t="shared" si="186"/>
        <v>0</v>
      </c>
      <c r="DE22" s="259">
        <f t="shared" si="187"/>
        <v>0</v>
      </c>
      <c r="DF22" s="259">
        <f t="shared" si="188"/>
        <v>0</v>
      </c>
      <c r="DG22" s="259">
        <f t="shared" si="189"/>
        <v>0</v>
      </c>
      <c r="DH22" s="259">
        <f t="shared" si="190"/>
        <v>0</v>
      </c>
      <c r="DI22" s="259">
        <f t="shared" si="191"/>
        <v>0</v>
      </c>
      <c r="DJ22" s="259">
        <f t="shared" si="192"/>
        <v>0</v>
      </c>
      <c r="DK22" s="259">
        <f t="shared" si="193"/>
        <v>0</v>
      </c>
      <c r="DL22" s="259">
        <f t="shared" si="194"/>
        <v>0</v>
      </c>
      <c r="DM22" s="259">
        <f t="shared" si="195"/>
        <v>0</v>
      </c>
      <c r="DN22" s="259">
        <f t="shared" si="196"/>
        <v>0</v>
      </c>
      <c r="DO22" s="259">
        <f t="shared" si="197"/>
        <v>0</v>
      </c>
      <c r="DP22" s="259">
        <f t="shared" si="198"/>
        <v>0</v>
      </c>
      <c r="DQ22" s="259">
        <f t="shared" si="199"/>
        <v>0</v>
      </c>
      <c r="DR22" s="259">
        <f t="shared" si="200"/>
        <v>0</v>
      </c>
      <c r="DS22" s="259">
        <f t="shared" si="201"/>
        <v>0</v>
      </c>
      <c r="DT22" s="259">
        <f t="shared" si="202"/>
        <v>0</v>
      </c>
      <c r="DU22" s="259">
        <f t="shared" si="203"/>
        <v>0</v>
      </c>
      <c r="DV22" s="259">
        <f t="shared" si="204"/>
        <v>0</v>
      </c>
      <c r="DW22" s="259">
        <f t="shared" si="205"/>
        <v>0</v>
      </c>
      <c r="DX22" s="259">
        <f t="shared" si="206"/>
        <v>0</v>
      </c>
      <c r="DY22" s="259">
        <f t="shared" si="207"/>
        <v>0</v>
      </c>
      <c r="DZ22" s="259">
        <f t="shared" si="208"/>
        <v>0</v>
      </c>
      <c r="EA22" s="259">
        <f t="shared" si="209"/>
        <v>0</v>
      </c>
      <c r="EB22" s="259">
        <f t="shared" si="210"/>
        <v>0</v>
      </c>
      <c r="EC22" s="263">
        <f t="shared" si="211"/>
        <v>0</v>
      </c>
      <c r="ED22" s="259">
        <f t="shared" si="212"/>
        <v>0</v>
      </c>
      <c r="EE22" s="259">
        <f t="shared" si="213"/>
        <v>0</v>
      </c>
      <c r="EF22" s="259">
        <f t="shared" si="214"/>
        <v>0</v>
      </c>
      <c r="EG22" s="259">
        <f t="shared" si="215"/>
        <v>0</v>
      </c>
      <c r="EH22" s="259">
        <f t="shared" si="216"/>
        <v>0</v>
      </c>
      <c r="EI22" s="259">
        <f t="shared" si="217"/>
        <v>0</v>
      </c>
      <c r="EJ22" s="259">
        <f t="shared" si="114"/>
        <v>0</v>
      </c>
      <c r="EK22" s="259">
        <f t="shared" si="218"/>
        <v>0</v>
      </c>
      <c r="EL22" s="259">
        <f t="shared" si="219"/>
        <v>0</v>
      </c>
      <c r="EM22" s="259">
        <f t="shared" si="220"/>
        <v>0</v>
      </c>
      <c r="EN22" s="259">
        <f t="shared" si="221"/>
        <v>0</v>
      </c>
      <c r="EO22" s="259">
        <f t="shared" si="222"/>
        <v>0</v>
      </c>
      <c r="EP22" s="259"/>
      <c r="EQ22" s="259">
        <f t="shared" si="223"/>
        <v>0</v>
      </c>
      <c r="ER22" s="259">
        <f t="shared" si="224"/>
        <v>0</v>
      </c>
      <c r="ES22" s="259">
        <f t="shared" si="225"/>
        <v>0</v>
      </c>
      <c r="ET22" s="259">
        <f t="shared" si="226"/>
        <v>0</v>
      </c>
      <c r="EU22" s="259">
        <f t="shared" si="227"/>
        <v>0</v>
      </c>
      <c r="EV22" s="259">
        <f t="shared" si="228"/>
        <v>0</v>
      </c>
      <c r="EW22" s="259">
        <f t="shared" si="229"/>
        <v>0</v>
      </c>
      <c r="EX22" s="259">
        <f t="shared" si="230"/>
        <v>0</v>
      </c>
      <c r="EY22" s="259">
        <f t="shared" si="231"/>
        <v>0</v>
      </c>
      <c r="EZ22" s="259">
        <f t="shared" si="232"/>
        <v>0</v>
      </c>
      <c r="FA22" s="259"/>
      <c r="FB22" s="259"/>
      <c r="FC22" s="259"/>
      <c r="FD22" s="259"/>
      <c r="FE22" s="259"/>
      <c r="FF22" s="259">
        <f t="shared" si="233"/>
        <v>0</v>
      </c>
      <c r="FG22" s="259">
        <f t="shared" si="234"/>
        <v>0</v>
      </c>
      <c r="FH22" s="259">
        <f t="shared" si="235"/>
        <v>0</v>
      </c>
      <c r="FI22" s="259">
        <f t="shared" si="236"/>
        <v>0</v>
      </c>
      <c r="FL22" s="159" t="s">
        <v>167</v>
      </c>
      <c r="FM22" s="160" t="s">
        <v>168</v>
      </c>
    </row>
    <row r="23" spans="1:169" ht="15.75" thickBot="1" x14ac:dyDescent="0.3">
      <c r="A23" s="304">
        <v>21</v>
      </c>
      <c r="B23" s="299" t="s">
        <v>4</v>
      </c>
      <c r="C23" s="300" t="s">
        <v>5</v>
      </c>
      <c r="D23" s="299"/>
      <c r="E23" s="301"/>
      <c r="F23" s="301"/>
      <c r="G23" s="301"/>
      <c r="H23" s="299"/>
      <c r="I23" s="299"/>
      <c r="J23" s="299"/>
      <c r="K23" s="301"/>
      <c r="L23" s="302"/>
      <c r="M23" s="301" t="s">
        <v>159</v>
      </c>
      <c r="N23" s="303"/>
      <c r="O23" s="302">
        <v>43005</v>
      </c>
      <c r="P23" s="259"/>
      <c r="Q23" s="191">
        <f>Y118</f>
        <v>0</v>
      </c>
      <c r="R23" s="100" t="s">
        <v>42</v>
      </c>
      <c r="S23" s="82" t="s">
        <v>75</v>
      </c>
      <c r="U23" s="100" t="s">
        <v>11</v>
      </c>
      <c r="V23" s="91"/>
      <c r="Y23" s="97"/>
      <c r="Z23" s="135">
        <f>SUM(AI25:AK25,AM25:AN25,AP25:AU25,AW25:BC25)</f>
        <v>0</v>
      </c>
      <c r="AA23" s="135">
        <f>SUM(BI25:CD25,CF25:CO25,CQ25)</f>
        <v>0</v>
      </c>
      <c r="AB23" s="135">
        <f t="shared" si="78"/>
        <v>0</v>
      </c>
      <c r="AC23" s="135">
        <f>SUM(EQ25:EX25,EZ25)</f>
        <v>0</v>
      </c>
      <c r="AD23" s="135">
        <f>SUM(FF25:FH25)</f>
        <v>0</v>
      </c>
      <c r="AF23" s="159" t="s">
        <v>169</v>
      </c>
      <c r="AG23" s="160" t="s">
        <v>170</v>
      </c>
      <c r="AH23" s="114">
        <f>SUM(AI23:AK23,AM23:AN23,AP23:AU23,AW23:BC23,BI23:CD23,CF23:CO23,CQ23,CW23:CZ23,DB23:DD23,DF23:EH23,EK23,EL23:EN23,EQ23:EX23,EZ23,FF23:FH23)</f>
        <v>0</v>
      </c>
      <c r="AI23" s="259">
        <f t="shared" si="122"/>
        <v>0</v>
      </c>
      <c r="AJ23" s="259">
        <f t="shared" si="123"/>
        <v>0</v>
      </c>
      <c r="AK23" s="259">
        <f t="shared" si="124"/>
        <v>0</v>
      </c>
      <c r="AL23" s="136">
        <f t="shared" si="125"/>
        <v>0</v>
      </c>
      <c r="AM23" s="259">
        <f t="shared" si="126"/>
        <v>0</v>
      </c>
      <c r="AN23" s="259">
        <f t="shared" si="127"/>
        <v>0</v>
      </c>
      <c r="AO23" s="259">
        <f t="shared" si="128"/>
        <v>0</v>
      </c>
      <c r="AP23" s="259">
        <f t="shared" si="129"/>
        <v>0</v>
      </c>
      <c r="AQ23" s="259">
        <f t="shared" si="130"/>
        <v>0</v>
      </c>
      <c r="AR23" s="259">
        <f t="shared" si="131"/>
        <v>0</v>
      </c>
      <c r="AS23" s="259">
        <f t="shared" si="132"/>
        <v>0</v>
      </c>
      <c r="AT23" s="259">
        <f t="shared" si="133"/>
        <v>0</v>
      </c>
      <c r="AU23" s="259">
        <f t="shared" si="134"/>
        <v>0</v>
      </c>
      <c r="AV23" s="259">
        <f t="shared" si="135"/>
        <v>0</v>
      </c>
      <c r="AW23" s="259">
        <f t="shared" si="136"/>
        <v>0</v>
      </c>
      <c r="AX23" s="259">
        <f t="shared" si="137"/>
        <v>0</v>
      </c>
      <c r="AY23" s="259">
        <f t="shared" si="138"/>
        <v>0</v>
      </c>
      <c r="AZ23" s="259">
        <f t="shared" si="139"/>
        <v>0</v>
      </c>
      <c r="BA23" s="259">
        <f t="shared" si="140"/>
        <v>0</v>
      </c>
      <c r="BB23" s="259">
        <f t="shared" si="141"/>
        <v>0</v>
      </c>
      <c r="BC23" s="263">
        <f t="shared" si="142"/>
        <v>0</v>
      </c>
      <c r="BD23" s="259">
        <f t="shared" si="143"/>
        <v>0</v>
      </c>
      <c r="BE23" s="259"/>
      <c r="BF23" s="259"/>
      <c r="BG23" s="259"/>
      <c r="BH23" s="259"/>
      <c r="BI23" s="259">
        <f t="shared" si="144"/>
        <v>0</v>
      </c>
      <c r="BJ23" s="259">
        <f t="shared" si="145"/>
        <v>0</v>
      </c>
      <c r="BK23" s="259">
        <f t="shared" si="146"/>
        <v>0</v>
      </c>
      <c r="BL23" s="259">
        <f t="shared" si="147"/>
        <v>0</v>
      </c>
      <c r="BM23" s="259">
        <f t="shared" si="148"/>
        <v>0</v>
      </c>
      <c r="BN23" s="259">
        <f t="shared" si="149"/>
        <v>0</v>
      </c>
      <c r="BO23" s="259">
        <f t="shared" si="150"/>
        <v>0</v>
      </c>
      <c r="BP23" s="259">
        <f t="shared" si="151"/>
        <v>0</v>
      </c>
      <c r="BQ23" s="259">
        <f t="shared" si="152"/>
        <v>0</v>
      </c>
      <c r="BR23" s="259">
        <f t="shared" si="153"/>
        <v>0</v>
      </c>
      <c r="BS23" s="259">
        <f t="shared" si="154"/>
        <v>0</v>
      </c>
      <c r="BT23" s="259">
        <f t="shared" si="155"/>
        <v>0</v>
      </c>
      <c r="BU23" s="259">
        <f t="shared" si="156"/>
        <v>0</v>
      </c>
      <c r="BV23" s="259">
        <f t="shared" si="157"/>
        <v>0</v>
      </c>
      <c r="BW23" s="259">
        <f t="shared" si="158"/>
        <v>0</v>
      </c>
      <c r="BX23" s="259">
        <f t="shared" si="159"/>
        <v>0</v>
      </c>
      <c r="BY23" s="259">
        <f t="shared" si="160"/>
        <v>0</v>
      </c>
      <c r="BZ23" s="259">
        <f t="shared" si="161"/>
        <v>0</v>
      </c>
      <c r="CA23" s="259">
        <f t="shared" si="162"/>
        <v>0</v>
      </c>
      <c r="CB23" s="259">
        <f t="shared" si="163"/>
        <v>0</v>
      </c>
      <c r="CC23" s="259">
        <f t="shared" si="164"/>
        <v>0</v>
      </c>
      <c r="CD23" s="259">
        <f t="shared" si="165"/>
        <v>0</v>
      </c>
      <c r="CE23" s="259">
        <f t="shared" si="166"/>
        <v>0</v>
      </c>
      <c r="CF23" s="259">
        <f t="shared" si="167"/>
        <v>0</v>
      </c>
      <c r="CG23" s="259">
        <f t="shared" si="168"/>
        <v>0</v>
      </c>
      <c r="CH23" s="259">
        <f t="shared" si="169"/>
        <v>0</v>
      </c>
      <c r="CI23" s="259">
        <f t="shared" si="170"/>
        <v>0</v>
      </c>
      <c r="CJ23" s="259">
        <f t="shared" si="171"/>
        <v>0</v>
      </c>
      <c r="CK23" s="259">
        <f t="shared" si="172"/>
        <v>0</v>
      </c>
      <c r="CL23" s="259">
        <f t="shared" si="173"/>
        <v>0</v>
      </c>
      <c r="CM23" s="259">
        <f t="shared" si="174"/>
        <v>0</v>
      </c>
      <c r="CN23" s="259">
        <f t="shared" si="175"/>
        <v>0</v>
      </c>
      <c r="CO23" s="259">
        <f t="shared" si="176"/>
        <v>0</v>
      </c>
      <c r="CP23" s="259">
        <f t="shared" si="177"/>
        <v>0</v>
      </c>
      <c r="CQ23" s="259">
        <f t="shared" si="178"/>
        <v>0</v>
      </c>
      <c r="CR23" s="259"/>
      <c r="CS23" s="259"/>
      <c r="CT23" s="259"/>
      <c r="CU23" s="259"/>
      <c r="CV23" s="259"/>
      <c r="CW23" s="259">
        <f t="shared" si="179"/>
        <v>0</v>
      </c>
      <c r="CX23" s="259">
        <f t="shared" si="180"/>
        <v>0</v>
      </c>
      <c r="CY23" s="259">
        <f t="shared" si="181"/>
        <v>0</v>
      </c>
      <c r="CZ23" s="259">
        <f t="shared" si="182"/>
        <v>0</v>
      </c>
      <c r="DA23" s="259">
        <f t="shared" si="183"/>
        <v>0</v>
      </c>
      <c r="DB23" s="259">
        <f t="shared" si="184"/>
        <v>0</v>
      </c>
      <c r="DC23" s="259">
        <f t="shared" si="185"/>
        <v>0</v>
      </c>
      <c r="DD23" s="259">
        <f t="shared" si="186"/>
        <v>0</v>
      </c>
      <c r="DE23" s="259">
        <f t="shared" si="187"/>
        <v>0</v>
      </c>
      <c r="DF23" s="259">
        <f t="shared" si="188"/>
        <v>0</v>
      </c>
      <c r="DG23" s="259">
        <f t="shared" si="189"/>
        <v>0</v>
      </c>
      <c r="DH23" s="259">
        <f t="shared" si="190"/>
        <v>0</v>
      </c>
      <c r="DI23" s="259">
        <f t="shared" si="191"/>
        <v>0</v>
      </c>
      <c r="DJ23" s="259">
        <f t="shared" si="192"/>
        <v>0</v>
      </c>
      <c r="DK23" s="259">
        <f t="shared" si="193"/>
        <v>0</v>
      </c>
      <c r="DL23" s="259">
        <f t="shared" si="194"/>
        <v>0</v>
      </c>
      <c r="DM23" s="259">
        <f t="shared" si="195"/>
        <v>0</v>
      </c>
      <c r="DN23" s="259">
        <f t="shared" si="196"/>
        <v>0</v>
      </c>
      <c r="DO23" s="259">
        <f t="shared" si="197"/>
        <v>0</v>
      </c>
      <c r="DP23" s="259">
        <f t="shared" si="198"/>
        <v>0</v>
      </c>
      <c r="DQ23" s="259">
        <f t="shared" si="199"/>
        <v>0</v>
      </c>
      <c r="DR23" s="259">
        <f t="shared" si="200"/>
        <v>0</v>
      </c>
      <c r="DS23" s="259">
        <f t="shared" si="201"/>
        <v>0</v>
      </c>
      <c r="DT23" s="259">
        <f t="shared" si="202"/>
        <v>0</v>
      </c>
      <c r="DU23" s="259">
        <f t="shared" si="203"/>
        <v>0</v>
      </c>
      <c r="DV23" s="259">
        <f t="shared" si="204"/>
        <v>0</v>
      </c>
      <c r="DW23" s="259">
        <f t="shared" si="205"/>
        <v>0</v>
      </c>
      <c r="DX23" s="259">
        <f t="shared" si="206"/>
        <v>0</v>
      </c>
      <c r="DY23" s="259">
        <f t="shared" si="207"/>
        <v>0</v>
      </c>
      <c r="DZ23" s="259">
        <f t="shared" si="208"/>
        <v>0</v>
      </c>
      <c r="EA23" s="259">
        <f t="shared" si="209"/>
        <v>0</v>
      </c>
      <c r="EB23" s="259">
        <f t="shared" si="210"/>
        <v>0</v>
      </c>
      <c r="EC23" s="263">
        <f t="shared" si="211"/>
        <v>0</v>
      </c>
      <c r="ED23" s="259">
        <f t="shared" si="212"/>
        <v>0</v>
      </c>
      <c r="EE23" s="259">
        <f t="shared" si="213"/>
        <v>0</v>
      </c>
      <c r="EF23" s="259">
        <f t="shared" si="214"/>
        <v>0</v>
      </c>
      <c r="EG23" s="259">
        <f t="shared" si="215"/>
        <v>0</v>
      </c>
      <c r="EH23" s="259">
        <f t="shared" si="216"/>
        <v>0</v>
      </c>
      <c r="EI23" s="259">
        <f t="shared" si="217"/>
        <v>0</v>
      </c>
      <c r="EJ23" s="259">
        <f t="shared" si="114"/>
        <v>0</v>
      </c>
      <c r="EK23" s="259">
        <f t="shared" si="218"/>
        <v>0</v>
      </c>
      <c r="EL23" s="259">
        <f t="shared" si="219"/>
        <v>0</v>
      </c>
      <c r="EM23" s="259">
        <f t="shared" si="220"/>
        <v>0</v>
      </c>
      <c r="EN23" s="259">
        <f t="shared" si="221"/>
        <v>0</v>
      </c>
      <c r="EO23" s="259">
        <f t="shared" si="222"/>
        <v>0</v>
      </c>
      <c r="EP23" s="259"/>
      <c r="EQ23" s="259">
        <f t="shared" si="223"/>
        <v>0</v>
      </c>
      <c r="ER23" s="259">
        <f t="shared" si="224"/>
        <v>0</v>
      </c>
      <c r="ES23" s="259">
        <f t="shared" si="225"/>
        <v>0</v>
      </c>
      <c r="ET23" s="259">
        <f t="shared" si="226"/>
        <v>0</v>
      </c>
      <c r="EU23" s="259">
        <f t="shared" si="227"/>
        <v>0</v>
      </c>
      <c r="EV23" s="259">
        <f t="shared" si="228"/>
        <v>0</v>
      </c>
      <c r="EW23" s="259">
        <f t="shared" si="229"/>
        <v>0</v>
      </c>
      <c r="EX23" s="259">
        <f t="shared" si="230"/>
        <v>0</v>
      </c>
      <c r="EY23" s="259">
        <f t="shared" si="231"/>
        <v>0</v>
      </c>
      <c r="EZ23" s="259">
        <f t="shared" si="232"/>
        <v>0</v>
      </c>
      <c r="FA23" s="259"/>
      <c r="FB23" s="259"/>
      <c r="FC23" s="259"/>
      <c r="FD23" s="259"/>
      <c r="FE23" s="259"/>
      <c r="FF23" s="259">
        <f t="shared" si="233"/>
        <v>0</v>
      </c>
      <c r="FG23" s="259">
        <f t="shared" si="234"/>
        <v>0</v>
      </c>
      <c r="FH23" s="259">
        <f t="shared" si="235"/>
        <v>0</v>
      </c>
      <c r="FI23" s="259">
        <f t="shared" si="236"/>
        <v>0</v>
      </c>
      <c r="FL23" s="159" t="s">
        <v>169</v>
      </c>
      <c r="FM23" s="160" t="s">
        <v>170</v>
      </c>
    </row>
    <row r="24" spans="1:169" ht="15.75" thickBot="1" x14ac:dyDescent="0.3">
      <c r="A24" s="304">
        <v>22</v>
      </c>
      <c r="B24" s="299" t="s">
        <v>4</v>
      </c>
      <c r="C24" s="300" t="s">
        <v>5</v>
      </c>
      <c r="D24" s="299"/>
      <c r="E24" s="301"/>
      <c r="F24" s="301"/>
      <c r="G24" s="301"/>
      <c r="H24" s="299"/>
      <c r="I24" s="299"/>
      <c r="J24" s="299"/>
      <c r="K24" s="301"/>
      <c r="L24" s="302"/>
      <c r="M24" s="301" t="s">
        <v>159</v>
      </c>
      <c r="N24" s="303"/>
      <c r="O24" s="302">
        <v>43005</v>
      </c>
      <c r="P24" s="259"/>
      <c r="Q24" s="191">
        <f>SUM(Y139,Y151,Y154,Y155,Y161,Y163, Y166,Y150, Y172)</f>
        <v>1</v>
      </c>
      <c r="R24" s="100" t="s">
        <v>43</v>
      </c>
      <c r="S24" s="190" t="s">
        <v>285</v>
      </c>
      <c r="U24" s="100" t="s">
        <v>59</v>
      </c>
      <c r="V24" s="91"/>
      <c r="Y24" s="97"/>
      <c r="Z24" s="135">
        <f>SUM(AI26:AK26,AM26:AN26,AP26:AU26,AW26:BC26)</f>
        <v>0</v>
      </c>
      <c r="AA24" s="135">
        <f>SUM(BI26:CD26,CF26:CO26,CQ26)</f>
        <v>0</v>
      </c>
      <c r="AB24" s="135">
        <f t="shared" si="78"/>
        <v>0</v>
      </c>
      <c r="AC24" s="135">
        <f>SUM(EQ26:EX26,EZ26)</f>
        <v>0</v>
      </c>
      <c r="AD24" s="135">
        <f>SUM(FF26:FH26)</f>
        <v>0</v>
      </c>
      <c r="AF24" s="159" t="s">
        <v>171</v>
      </c>
      <c r="AG24" s="160" t="s">
        <v>172</v>
      </c>
      <c r="AH24" s="114">
        <f>SUM(AI24:AK24,AM24:AN24,AP24:AU24,AW24:BC24,BI24:CD24,CF24:CO24,CQ24,CW24:CZ24,DB24:DD24,DF24:EH24,EK24,EL24:EN24,EQ24:EX24,EZ24,FF24:FH24)</f>
        <v>0</v>
      </c>
      <c r="AI24" s="259">
        <f t="shared" si="122"/>
        <v>0</v>
      </c>
      <c r="AJ24" s="259">
        <f t="shared" si="123"/>
        <v>0</v>
      </c>
      <c r="AK24" s="259">
        <f t="shared" si="124"/>
        <v>0</v>
      </c>
      <c r="AL24" s="136">
        <f t="shared" si="125"/>
        <v>0</v>
      </c>
      <c r="AM24" s="259">
        <f t="shared" si="126"/>
        <v>0</v>
      </c>
      <c r="AN24" s="259">
        <f t="shared" si="127"/>
        <v>0</v>
      </c>
      <c r="AO24" s="259">
        <f t="shared" si="128"/>
        <v>0</v>
      </c>
      <c r="AP24" s="259">
        <f t="shared" si="129"/>
        <v>0</v>
      </c>
      <c r="AQ24" s="259">
        <f t="shared" si="130"/>
        <v>0</v>
      </c>
      <c r="AR24" s="259">
        <f t="shared" si="131"/>
        <v>0</v>
      </c>
      <c r="AS24" s="259">
        <f t="shared" si="132"/>
        <v>0</v>
      </c>
      <c r="AT24" s="259">
        <f t="shared" si="133"/>
        <v>0</v>
      </c>
      <c r="AU24" s="259">
        <f t="shared" si="134"/>
        <v>0</v>
      </c>
      <c r="AV24" s="259">
        <f t="shared" si="135"/>
        <v>0</v>
      </c>
      <c r="AW24" s="259">
        <f t="shared" si="136"/>
        <v>0</v>
      </c>
      <c r="AX24" s="259">
        <f t="shared" si="137"/>
        <v>0</v>
      </c>
      <c r="AY24" s="259">
        <f t="shared" si="138"/>
        <v>0</v>
      </c>
      <c r="AZ24" s="259">
        <f t="shared" si="139"/>
        <v>0</v>
      </c>
      <c r="BA24" s="259">
        <f t="shared" si="140"/>
        <v>0</v>
      </c>
      <c r="BB24" s="259">
        <f t="shared" si="141"/>
        <v>0</v>
      </c>
      <c r="BC24" s="263">
        <f t="shared" si="142"/>
        <v>0</v>
      </c>
      <c r="BD24" s="259">
        <f t="shared" si="143"/>
        <v>0</v>
      </c>
      <c r="BE24" s="259"/>
      <c r="BF24" s="259"/>
      <c r="BG24" s="259"/>
      <c r="BH24" s="259"/>
      <c r="BI24" s="259">
        <f t="shared" si="144"/>
        <v>0</v>
      </c>
      <c r="BJ24" s="259">
        <f t="shared" si="145"/>
        <v>0</v>
      </c>
      <c r="BK24" s="259">
        <f t="shared" si="146"/>
        <v>0</v>
      </c>
      <c r="BL24" s="259">
        <f t="shared" si="147"/>
        <v>0</v>
      </c>
      <c r="BM24" s="259">
        <f t="shared" si="148"/>
        <v>0</v>
      </c>
      <c r="BN24" s="259">
        <f t="shared" si="149"/>
        <v>0</v>
      </c>
      <c r="BO24" s="259">
        <f t="shared" si="150"/>
        <v>0</v>
      </c>
      <c r="BP24" s="259">
        <f t="shared" si="151"/>
        <v>0</v>
      </c>
      <c r="BQ24" s="259">
        <f t="shared" si="152"/>
        <v>0</v>
      </c>
      <c r="BR24" s="259">
        <f t="shared" si="153"/>
        <v>0</v>
      </c>
      <c r="BS24" s="259">
        <f t="shared" si="154"/>
        <v>0</v>
      </c>
      <c r="BT24" s="259">
        <f t="shared" si="155"/>
        <v>0</v>
      </c>
      <c r="BU24" s="259">
        <f t="shared" si="156"/>
        <v>0</v>
      </c>
      <c r="BV24" s="259">
        <f t="shared" si="157"/>
        <v>0</v>
      </c>
      <c r="BW24" s="259">
        <f t="shared" si="158"/>
        <v>0</v>
      </c>
      <c r="BX24" s="259">
        <f t="shared" si="159"/>
        <v>0</v>
      </c>
      <c r="BY24" s="259">
        <f t="shared" si="160"/>
        <v>0</v>
      </c>
      <c r="BZ24" s="259">
        <f t="shared" si="161"/>
        <v>0</v>
      </c>
      <c r="CA24" s="259">
        <f t="shared" si="162"/>
        <v>0</v>
      </c>
      <c r="CB24" s="259">
        <f t="shared" si="163"/>
        <v>0</v>
      </c>
      <c r="CC24" s="259">
        <f t="shared" si="164"/>
        <v>0</v>
      </c>
      <c r="CD24" s="259">
        <f t="shared" si="165"/>
        <v>0</v>
      </c>
      <c r="CE24" s="259">
        <f t="shared" si="166"/>
        <v>0</v>
      </c>
      <c r="CF24" s="259">
        <f t="shared" si="167"/>
        <v>0</v>
      </c>
      <c r="CG24" s="259">
        <f t="shared" si="168"/>
        <v>0</v>
      </c>
      <c r="CH24" s="259">
        <f t="shared" si="169"/>
        <v>0</v>
      </c>
      <c r="CI24" s="259">
        <f t="shared" si="170"/>
        <v>0</v>
      </c>
      <c r="CJ24" s="259">
        <f t="shared" si="171"/>
        <v>0</v>
      </c>
      <c r="CK24" s="259">
        <f t="shared" si="172"/>
        <v>0</v>
      </c>
      <c r="CL24" s="259">
        <f t="shared" si="173"/>
        <v>0</v>
      </c>
      <c r="CM24" s="259">
        <f t="shared" si="174"/>
        <v>0</v>
      </c>
      <c r="CN24" s="259">
        <f t="shared" si="175"/>
        <v>0</v>
      </c>
      <c r="CO24" s="259">
        <f t="shared" si="176"/>
        <v>0</v>
      </c>
      <c r="CP24" s="259">
        <f t="shared" si="177"/>
        <v>0</v>
      </c>
      <c r="CQ24" s="259">
        <f t="shared" si="178"/>
        <v>0</v>
      </c>
      <c r="CR24" s="259"/>
      <c r="CS24" s="259"/>
      <c r="CT24" s="259"/>
      <c r="CU24" s="259"/>
      <c r="CV24" s="259"/>
      <c r="CW24" s="259">
        <f t="shared" si="179"/>
        <v>0</v>
      </c>
      <c r="CX24" s="259">
        <f t="shared" si="180"/>
        <v>0</v>
      </c>
      <c r="CY24" s="259">
        <f t="shared" si="181"/>
        <v>0</v>
      </c>
      <c r="CZ24" s="259">
        <f t="shared" si="182"/>
        <v>0</v>
      </c>
      <c r="DA24" s="259">
        <f t="shared" si="183"/>
        <v>0</v>
      </c>
      <c r="DB24" s="259">
        <f t="shared" si="184"/>
        <v>0</v>
      </c>
      <c r="DC24" s="259">
        <f t="shared" si="185"/>
        <v>0</v>
      </c>
      <c r="DD24" s="259">
        <f t="shared" si="186"/>
        <v>0</v>
      </c>
      <c r="DE24" s="259">
        <f t="shared" si="187"/>
        <v>0</v>
      </c>
      <c r="DF24" s="259">
        <f t="shared" si="188"/>
        <v>0</v>
      </c>
      <c r="DG24" s="259">
        <f t="shared" si="189"/>
        <v>0</v>
      </c>
      <c r="DH24" s="259">
        <f t="shared" si="190"/>
        <v>0</v>
      </c>
      <c r="DI24" s="259">
        <f t="shared" si="191"/>
        <v>0</v>
      </c>
      <c r="DJ24" s="259">
        <f t="shared" si="192"/>
        <v>0</v>
      </c>
      <c r="DK24" s="259">
        <f t="shared" si="193"/>
        <v>0</v>
      </c>
      <c r="DL24" s="259">
        <f t="shared" si="194"/>
        <v>0</v>
      </c>
      <c r="DM24" s="259">
        <f t="shared" si="195"/>
        <v>0</v>
      </c>
      <c r="DN24" s="259">
        <f t="shared" si="196"/>
        <v>0</v>
      </c>
      <c r="DO24" s="259">
        <f t="shared" si="197"/>
        <v>0</v>
      </c>
      <c r="DP24" s="259">
        <f t="shared" si="198"/>
        <v>0</v>
      </c>
      <c r="DQ24" s="259">
        <f t="shared" si="199"/>
        <v>0</v>
      </c>
      <c r="DR24" s="259">
        <f t="shared" si="200"/>
        <v>0</v>
      </c>
      <c r="DS24" s="259">
        <f t="shared" si="201"/>
        <v>0</v>
      </c>
      <c r="DT24" s="259">
        <f t="shared" si="202"/>
        <v>0</v>
      </c>
      <c r="DU24" s="259">
        <f t="shared" si="203"/>
        <v>0</v>
      </c>
      <c r="DV24" s="259">
        <f t="shared" si="204"/>
        <v>0</v>
      </c>
      <c r="DW24" s="259">
        <f t="shared" si="205"/>
        <v>0</v>
      </c>
      <c r="DX24" s="259">
        <f t="shared" si="206"/>
        <v>0</v>
      </c>
      <c r="DY24" s="259">
        <f t="shared" si="207"/>
        <v>0</v>
      </c>
      <c r="DZ24" s="259">
        <f t="shared" si="208"/>
        <v>0</v>
      </c>
      <c r="EA24" s="259">
        <f t="shared" si="209"/>
        <v>0</v>
      </c>
      <c r="EB24" s="259">
        <f t="shared" si="210"/>
        <v>0</v>
      </c>
      <c r="EC24" s="263">
        <f t="shared" si="211"/>
        <v>0</v>
      </c>
      <c r="ED24" s="259">
        <f t="shared" si="212"/>
        <v>0</v>
      </c>
      <c r="EE24" s="259">
        <f t="shared" si="213"/>
        <v>0</v>
      </c>
      <c r="EF24" s="259">
        <f t="shared" si="214"/>
        <v>0</v>
      </c>
      <c r="EG24" s="259">
        <f t="shared" si="215"/>
        <v>0</v>
      </c>
      <c r="EH24" s="259">
        <f t="shared" si="216"/>
        <v>0</v>
      </c>
      <c r="EI24" s="259">
        <f t="shared" si="217"/>
        <v>0</v>
      </c>
      <c r="EJ24" s="259">
        <f t="shared" si="114"/>
        <v>0</v>
      </c>
      <c r="EK24" s="259">
        <f t="shared" si="218"/>
        <v>0</v>
      </c>
      <c r="EL24" s="259">
        <f t="shared" si="219"/>
        <v>0</v>
      </c>
      <c r="EM24" s="259">
        <f t="shared" si="220"/>
        <v>0</v>
      </c>
      <c r="EN24" s="259">
        <f t="shared" si="221"/>
        <v>0</v>
      </c>
      <c r="EO24" s="259">
        <f t="shared" si="222"/>
        <v>0</v>
      </c>
      <c r="EP24" s="259"/>
      <c r="EQ24" s="259">
        <f t="shared" si="223"/>
        <v>0</v>
      </c>
      <c r="ER24" s="259">
        <f t="shared" si="224"/>
        <v>0</v>
      </c>
      <c r="ES24" s="259">
        <f t="shared" si="225"/>
        <v>0</v>
      </c>
      <c r="ET24" s="259">
        <f t="shared" si="226"/>
        <v>0</v>
      </c>
      <c r="EU24" s="259">
        <f t="shared" si="227"/>
        <v>0</v>
      </c>
      <c r="EV24" s="259">
        <f t="shared" si="228"/>
        <v>0</v>
      </c>
      <c r="EW24" s="259">
        <f t="shared" si="229"/>
        <v>0</v>
      </c>
      <c r="EX24" s="259">
        <f t="shared" si="230"/>
        <v>0</v>
      </c>
      <c r="EY24" s="259">
        <f t="shared" si="231"/>
        <v>0</v>
      </c>
      <c r="EZ24" s="259">
        <f t="shared" si="232"/>
        <v>0</v>
      </c>
      <c r="FA24" s="259"/>
      <c r="FB24" s="259"/>
      <c r="FC24" s="259"/>
      <c r="FD24" s="259"/>
      <c r="FE24" s="259"/>
      <c r="FF24" s="259">
        <f t="shared" si="233"/>
        <v>0</v>
      </c>
      <c r="FG24" s="259">
        <f t="shared" si="234"/>
        <v>0</v>
      </c>
      <c r="FH24" s="259">
        <f t="shared" si="235"/>
        <v>0</v>
      </c>
      <c r="FI24" s="259">
        <f t="shared" si="236"/>
        <v>0</v>
      </c>
      <c r="FL24" s="159" t="s">
        <v>171</v>
      </c>
      <c r="FM24" s="160" t="s">
        <v>172</v>
      </c>
    </row>
    <row r="25" spans="1:169" ht="15.75" thickBot="1" x14ac:dyDescent="0.3">
      <c r="A25" s="304">
        <v>23</v>
      </c>
      <c r="B25" s="299" t="s">
        <v>4</v>
      </c>
      <c r="C25" s="300" t="s">
        <v>5</v>
      </c>
      <c r="D25" s="299"/>
      <c r="E25" s="301"/>
      <c r="F25" s="301"/>
      <c r="G25" s="301"/>
      <c r="H25" s="299"/>
      <c r="I25" s="299"/>
      <c r="J25" s="299"/>
      <c r="K25" s="301"/>
      <c r="L25" s="302"/>
      <c r="M25" s="301" t="s">
        <v>159</v>
      </c>
      <c r="N25" s="303"/>
      <c r="O25" s="302">
        <v>43005</v>
      </c>
      <c r="P25" s="259"/>
      <c r="Q25" s="191">
        <f>SUM(Y130,Y138,Y148,Y142,Y164,Y171)</f>
        <v>0</v>
      </c>
      <c r="R25" s="100" t="s">
        <v>44</v>
      </c>
      <c r="S25" s="82" t="s">
        <v>261</v>
      </c>
      <c r="U25" s="100" t="s">
        <v>1</v>
      </c>
      <c r="V25" s="91"/>
      <c r="Y25" s="97"/>
      <c r="Z25" s="135">
        <f>SUM(AI27:AK27,AM27:AN27,AP27:AU27,AW27:BC27)</f>
        <v>0</v>
      </c>
      <c r="AA25" s="135">
        <f>SUM(BI27:CD27,CF27:CO27,CQ27)</f>
        <v>0</v>
      </c>
      <c r="AB25" s="135">
        <f t="shared" si="78"/>
        <v>8</v>
      </c>
      <c r="AC25" s="135">
        <f>SUM(EQ27:EX27,EZ27)</f>
        <v>0</v>
      </c>
      <c r="AD25" s="135">
        <f>SUM(FF27:FH27)</f>
        <v>0</v>
      </c>
      <c r="AF25" s="159" t="s">
        <v>174</v>
      </c>
      <c r="AG25" s="160" t="s">
        <v>175</v>
      </c>
      <c r="AH25" s="114">
        <f>SUM(AI25:AK25,AM25:AN25,AP25:AU25,AW25:BC25,BI25:CD25,CF25:CO25,CQ25,CW25:CZ25,DB25:DD25,DF25:EH25,EJ25:EK25,EL25:EN25,EQ25:EX25,EZ25,FF25:FH25)</f>
        <v>8</v>
      </c>
      <c r="AI25" s="259">
        <f>COUNTIFS($B:$B,"Pittsburgh",$C:$C,"ECDC",$M:$M,AG25)</f>
        <v>0</v>
      </c>
      <c r="AJ25" s="259">
        <f t="shared" si="123"/>
        <v>0</v>
      </c>
      <c r="AK25" s="259">
        <f t="shared" si="124"/>
        <v>0</v>
      </c>
      <c r="AL25" s="136">
        <f t="shared" si="125"/>
        <v>0</v>
      </c>
      <c r="AM25" s="259">
        <f t="shared" si="126"/>
        <v>0</v>
      </c>
      <c r="AN25" s="259">
        <f t="shared" si="127"/>
        <v>0</v>
      </c>
      <c r="AO25" s="259">
        <f t="shared" si="128"/>
        <v>0</v>
      </c>
      <c r="AP25" s="259">
        <f t="shared" si="129"/>
        <v>0</v>
      </c>
      <c r="AQ25" s="259">
        <f t="shared" si="130"/>
        <v>0</v>
      </c>
      <c r="AR25" s="259">
        <f t="shared" si="131"/>
        <v>0</v>
      </c>
      <c r="AS25" s="259">
        <f t="shared" si="132"/>
        <v>0</v>
      </c>
      <c r="AT25" s="259">
        <f t="shared" si="133"/>
        <v>0</v>
      </c>
      <c r="AU25" s="259">
        <f t="shared" si="134"/>
        <v>0</v>
      </c>
      <c r="AV25" s="259">
        <f t="shared" si="135"/>
        <v>0</v>
      </c>
      <c r="AW25" s="259">
        <f t="shared" si="136"/>
        <v>0</v>
      </c>
      <c r="AX25" s="259">
        <f t="shared" si="137"/>
        <v>0</v>
      </c>
      <c r="AY25" s="259">
        <f t="shared" si="138"/>
        <v>0</v>
      </c>
      <c r="AZ25" s="259">
        <f t="shared" si="139"/>
        <v>0</v>
      </c>
      <c r="BA25" s="259">
        <f t="shared" si="140"/>
        <v>0</v>
      </c>
      <c r="BB25" s="259">
        <f t="shared" si="141"/>
        <v>0</v>
      </c>
      <c r="BC25" s="263">
        <f t="shared" si="142"/>
        <v>0</v>
      </c>
      <c r="BD25" s="259">
        <f t="shared" si="143"/>
        <v>0</v>
      </c>
      <c r="BE25" s="259"/>
      <c r="BF25" s="259"/>
      <c r="BG25" s="259"/>
      <c r="BH25" s="259"/>
      <c r="BI25" s="259">
        <f t="shared" si="144"/>
        <v>0</v>
      </c>
      <c r="BJ25" s="259">
        <f t="shared" si="145"/>
        <v>0</v>
      </c>
      <c r="BK25" s="259">
        <f t="shared" si="146"/>
        <v>0</v>
      </c>
      <c r="BL25" s="259">
        <f t="shared" si="147"/>
        <v>0</v>
      </c>
      <c r="BM25" s="259">
        <f t="shared" si="148"/>
        <v>0</v>
      </c>
      <c r="BN25" s="259">
        <f t="shared" si="149"/>
        <v>0</v>
      </c>
      <c r="BO25" s="259">
        <f t="shared" si="150"/>
        <v>0</v>
      </c>
      <c r="BP25" s="259">
        <f t="shared" si="151"/>
        <v>0</v>
      </c>
      <c r="BQ25" s="259">
        <f t="shared" si="152"/>
        <v>0</v>
      </c>
      <c r="BR25" s="259">
        <f t="shared" si="153"/>
        <v>0</v>
      </c>
      <c r="BS25" s="259">
        <f t="shared" si="154"/>
        <v>0</v>
      </c>
      <c r="BT25" s="259">
        <f t="shared" si="155"/>
        <v>0</v>
      </c>
      <c r="BU25" s="259">
        <f t="shared" si="156"/>
        <v>0</v>
      </c>
      <c r="BV25" s="259">
        <f t="shared" si="157"/>
        <v>0</v>
      </c>
      <c r="BW25" s="259">
        <f t="shared" si="158"/>
        <v>0</v>
      </c>
      <c r="BX25" s="259">
        <f t="shared" si="159"/>
        <v>0</v>
      </c>
      <c r="BY25" s="259">
        <f t="shared" si="160"/>
        <v>0</v>
      </c>
      <c r="BZ25" s="259">
        <f t="shared" si="161"/>
        <v>0</v>
      </c>
      <c r="CA25" s="259">
        <f t="shared" si="162"/>
        <v>0</v>
      </c>
      <c r="CB25" s="259">
        <f t="shared" si="163"/>
        <v>0</v>
      </c>
      <c r="CC25" s="259">
        <f t="shared" si="164"/>
        <v>0</v>
      </c>
      <c r="CD25" s="259">
        <f t="shared" si="165"/>
        <v>0</v>
      </c>
      <c r="CE25" s="259">
        <f t="shared" si="166"/>
        <v>0</v>
      </c>
      <c r="CF25" s="259">
        <f t="shared" si="167"/>
        <v>0</v>
      </c>
      <c r="CG25" s="259">
        <f t="shared" si="168"/>
        <v>0</v>
      </c>
      <c r="CH25" s="259">
        <f t="shared" si="169"/>
        <v>0</v>
      </c>
      <c r="CI25" s="259">
        <f t="shared" si="170"/>
        <v>0</v>
      </c>
      <c r="CJ25" s="259">
        <f t="shared" si="171"/>
        <v>0</v>
      </c>
      <c r="CK25" s="259">
        <f t="shared" si="172"/>
        <v>0</v>
      </c>
      <c r="CL25" s="259">
        <f t="shared" si="173"/>
        <v>0</v>
      </c>
      <c r="CM25" s="259">
        <f t="shared" si="174"/>
        <v>0</v>
      </c>
      <c r="CN25" s="259">
        <f t="shared" si="175"/>
        <v>0</v>
      </c>
      <c r="CO25" s="259">
        <f t="shared" si="176"/>
        <v>0</v>
      </c>
      <c r="CP25" s="259">
        <f t="shared" si="177"/>
        <v>0</v>
      </c>
      <c r="CQ25" s="259">
        <f t="shared" si="178"/>
        <v>0</v>
      </c>
      <c r="CR25" s="259"/>
      <c r="CS25" s="259"/>
      <c r="CT25" s="259"/>
      <c r="CU25" s="259"/>
      <c r="CV25" s="259"/>
      <c r="CW25" s="259">
        <f t="shared" si="179"/>
        <v>0</v>
      </c>
      <c r="CX25" s="259">
        <f t="shared" si="180"/>
        <v>0</v>
      </c>
      <c r="CY25" s="259">
        <f t="shared" si="181"/>
        <v>0</v>
      </c>
      <c r="CZ25" s="259">
        <f t="shared" si="182"/>
        <v>0</v>
      </c>
      <c r="DA25" s="259">
        <f t="shared" si="183"/>
        <v>0</v>
      </c>
      <c r="DB25" s="259">
        <f t="shared" si="184"/>
        <v>0</v>
      </c>
      <c r="DC25" s="259">
        <f t="shared" si="185"/>
        <v>0</v>
      </c>
      <c r="DD25" s="259">
        <f t="shared" si="186"/>
        <v>0</v>
      </c>
      <c r="DE25" s="259">
        <f t="shared" si="187"/>
        <v>0</v>
      </c>
      <c r="DF25" s="259">
        <f t="shared" si="188"/>
        <v>0</v>
      </c>
      <c r="DG25" s="259">
        <f t="shared" si="189"/>
        <v>0</v>
      </c>
      <c r="DH25" s="259">
        <f t="shared" si="190"/>
        <v>0</v>
      </c>
      <c r="DI25" s="259">
        <f t="shared" si="191"/>
        <v>0</v>
      </c>
      <c r="DJ25" s="259">
        <f t="shared" si="192"/>
        <v>0</v>
      </c>
      <c r="DK25" s="259">
        <f t="shared" si="193"/>
        <v>0</v>
      </c>
      <c r="DL25" s="259">
        <f t="shared" si="194"/>
        <v>0</v>
      </c>
      <c r="DM25" s="259">
        <f t="shared" si="195"/>
        <v>0</v>
      </c>
      <c r="DN25" s="259">
        <f t="shared" si="196"/>
        <v>0</v>
      </c>
      <c r="DO25" s="259">
        <f t="shared" si="197"/>
        <v>0</v>
      </c>
      <c r="DP25" s="259">
        <f t="shared" si="198"/>
        <v>0</v>
      </c>
      <c r="DQ25" s="259">
        <f t="shared" si="199"/>
        <v>0</v>
      </c>
      <c r="DR25" s="259">
        <f t="shared" si="200"/>
        <v>0</v>
      </c>
      <c r="DS25" s="259">
        <f t="shared" si="201"/>
        <v>0</v>
      </c>
      <c r="DT25" s="259">
        <f t="shared" si="202"/>
        <v>0</v>
      </c>
      <c r="DU25" s="259">
        <f t="shared" si="203"/>
        <v>0</v>
      </c>
      <c r="DV25" s="259">
        <f t="shared" si="204"/>
        <v>0</v>
      </c>
      <c r="DW25" s="259">
        <f t="shared" si="205"/>
        <v>0</v>
      </c>
      <c r="DX25" s="259">
        <f t="shared" si="206"/>
        <v>0</v>
      </c>
      <c r="DY25" s="259">
        <f t="shared" si="207"/>
        <v>0</v>
      </c>
      <c r="DZ25" s="259">
        <f t="shared" si="208"/>
        <v>0</v>
      </c>
      <c r="EA25" s="259">
        <f t="shared" si="209"/>
        <v>0</v>
      </c>
      <c r="EB25" s="259">
        <f t="shared" si="210"/>
        <v>0</v>
      </c>
      <c r="EC25" s="263">
        <f t="shared" si="211"/>
        <v>0</v>
      </c>
      <c r="ED25" s="259">
        <f t="shared" si="212"/>
        <v>0</v>
      </c>
      <c r="EE25" s="259">
        <f t="shared" si="213"/>
        <v>0</v>
      </c>
      <c r="EF25" s="259">
        <f t="shared" si="214"/>
        <v>0</v>
      </c>
      <c r="EG25" s="259">
        <f t="shared" si="215"/>
        <v>0</v>
      </c>
      <c r="EH25" s="259">
        <f t="shared" si="216"/>
        <v>0</v>
      </c>
      <c r="EI25" s="259">
        <f t="shared" si="217"/>
        <v>0</v>
      </c>
      <c r="EJ25" s="259">
        <f t="shared" si="114"/>
        <v>8</v>
      </c>
      <c r="EK25" s="259">
        <f t="shared" si="218"/>
        <v>0</v>
      </c>
      <c r="EL25" s="259">
        <f t="shared" si="219"/>
        <v>0</v>
      </c>
      <c r="EM25" s="259">
        <f t="shared" si="220"/>
        <v>0</v>
      </c>
      <c r="EN25" s="259">
        <f t="shared" si="221"/>
        <v>0</v>
      </c>
      <c r="EO25" s="259">
        <f t="shared" si="222"/>
        <v>0</v>
      </c>
      <c r="EP25" s="259"/>
      <c r="EQ25" s="259">
        <f t="shared" si="223"/>
        <v>0</v>
      </c>
      <c r="ER25" s="259">
        <f t="shared" si="224"/>
        <v>0</v>
      </c>
      <c r="ES25" s="259">
        <f t="shared" si="225"/>
        <v>0</v>
      </c>
      <c r="ET25" s="259">
        <f t="shared" si="226"/>
        <v>0</v>
      </c>
      <c r="EU25" s="259">
        <f t="shared" si="227"/>
        <v>0</v>
      </c>
      <c r="EV25" s="259">
        <f t="shared" si="228"/>
        <v>0</v>
      </c>
      <c r="EW25" s="259">
        <f t="shared" si="229"/>
        <v>0</v>
      </c>
      <c r="EX25" s="259">
        <f t="shared" si="230"/>
        <v>0</v>
      </c>
      <c r="EY25" s="259">
        <f t="shared" si="231"/>
        <v>0</v>
      </c>
      <c r="EZ25" s="259">
        <f t="shared" si="232"/>
        <v>0</v>
      </c>
      <c r="FA25" s="259"/>
      <c r="FB25" s="259"/>
      <c r="FC25" s="259"/>
      <c r="FD25" s="259"/>
      <c r="FE25" s="259"/>
      <c r="FF25" s="259">
        <f t="shared" si="233"/>
        <v>0</v>
      </c>
      <c r="FG25" s="259">
        <f t="shared" si="234"/>
        <v>0</v>
      </c>
      <c r="FH25" s="259">
        <f t="shared" si="235"/>
        <v>0</v>
      </c>
      <c r="FI25" s="259">
        <f t="shared" si="236"/>
        <v>0</v>
      </c>
      <c r="FL25" s="159" t="s">
        <v>174</v>
      </c>
      <c r="FM25" s="160" t="s">
        <v>175</v>
      </c>
    </row>
    <row r="26" spans="1:169" ht="15.75" thickBot="1" x14ac:dyDescent="0.3">
      <c r="A26" s="304">
        <v>24</v>
      </c>
      <c r="B26" s="299" t="s">
        <v>4</v>
      </c>
      <c r="C26" s="300" t="s">
        <v>5</v>
      </c>
      <c r="D26" s="299"/>
      <c r="E26" s="301"/>
      <c r="F26" s="301"/>
      <c r="G26" s="301"/>
      <c r="H26" s="299"/>
      <c r="I26" s="299"/>
      <c r="J26" s="299"/>
      <c r="K26" s="301"/>
      <c r="L26" s="302"/>
      <c r="M26" s="301" t="s">
        <v>159</v>
      </c>
      <c r="N26" s="303"/>
      <c r="O26" s="302">
        <v>43005</v>
      </c>
      <c r="P26" s="259"/>
      <c r="Q26" s="191">
        <f>SUM(Y140,Y141,Y143,Y145,Y147,Y156,Y158,Y160,Y162,Y169)</f>
        <v>0</v>
      </c>
      <c r="R26" s="100" t="s">
        <v>45</v>
      </c>
      <c r="S26" s="190" t="s">
        <v>773</v>
      </c>
      <c r="U26" s="100" t="s">
        <v>5</v>
      </c>
      <c r="V26" s="91"/>
      <c r="Y26" s="97"/>
      <c r="Z26" s="135">
        <f>SUM(AI28:AK28,AM28:AN28,AP28:AU28,AW28:BC28)</f>
        <v>0</v>
      </c>
      <c r="AA26" s="135">
        <f>SUM(BI28:CD28,CF28:CO28,CQ28)</f>
        <v>0</v>
      </c>
      <c r="AB26" s="135">
        <f t="shared" si="78"/>
        <v>1</v>
      </c>
      <c r="AC26" s="135">
        <f>SUM(EQ28:EX28,EZ28)</f>
        <v>0</v>
      </c>
      <c r="AD26" s="135">
        <f>SUM(FF28:FH28)</f>
        <v>0</v>
      </c>
      <c r="AF26" s="159" t="s">
        <v>176</v>
      </c>
      <c r="AG26" s="160" t="s">
        <v>166</v>
      </c>
      <c r="AH26" s="114">
        <f>SUM(AI26:AK26,AM26:AN26,AP26:AU26,AW26:BC26,BI26:CD26,CF26:CO26,CQ26,CW26:CZ26,DB26:DD26,DF26:EH26,EK26,EL26:EN26,EQ26:EX26,EZ26,FF26:FH26)</f>
        <v>1</v>
      </c>
      <c r="AI26" s="259">
        <f t="shared" si="122"/>
        <v>0</v>
      </c>
      <c r="AJ26" s="259">
        <f t="shared" si="123"/>
        <v>0</v>
      </c>
      <c r="AK26" s="259">
        <f t="shared" si="124"/>
        <v>0</v>
      </c>
      <c r="AL26" s="136">
        <f t="shared" si="125"/>
        <v>0</v>
      </c>
      <c r="AM26" s="259">
        <f t="shared" si="126"/>
        <v>0</v>
      </c>
      <c r="AN26" s="259">
        <f t="shared" si="127"/>
        <v>0</v>
      </c>
      <c r="AO26" s="259">
        <f t="shared" si="128"/>
        <v>0</v>
      </c>
      <c r="AP26" s="259">
        <f t="shared" si="129"/>
        <v>0</v>
      </c>
      <c r="AQ26" s="259">
        <f t="shared" si="130"/>
        <v>0</v>
      </c>
      <c r="AR26" s="259">
        <f t="shared" si="131"/>
        <v>0</v>
      </c>
      <c r="AS26" s="259">
        <f t="shared" si="132"/>
        <v>0</v>
      </c>
      <c r="AT26" s="259">
        <f t="shared" si="133"/>
        <v>0</v>
      </c>
      <c r="AU26" s="259">
        <f t="shared" si="134"/>
        <v>0</v>
      </c>
      <c r="AV26" s="259">
        <f t="shared" si="135"/>
        <v>0</v>
      </c>
      <c r="AW26" s="259">
        <f t="shared" si="136"/>
        <v>0</v>
      </c>
      <c r="AX26" s="259">
        <f t="shared" si="137"/>
        <v>0</v>
      </c>
      <c r="AY26" s="259">
        <f t="shared" si="138"/>
        <v>0</v>
      </c>
      <c r="AZ26" s="259">
        <f t="shared" si="139"/>
        <v>0</v>
      </c>
      <c r="BA26" s="259">
        <f t="shared" si="140"/>
        <v>0</v>
      </c>
      <c r="BB26" s="259">
        <f t="shared" si="141"/>
        <v>0</v>
      </c>
      <c r="BC26" s="263">
        <f t="shared" si="142"/>
        <v>0</v>
      </c>
      <c r="BD26" s="259">
        <f t="shared" si="143"/>
        <v>0</v>
      </c>
      <c r="BE26" s="259"/>
      <c r="BF26" s="259"/>
      <c r="BG26" s="259"/>
      <c r="BH26" s="259"/>
      <c r="BI26" s="259">
        <f t="shared" si="144"/>
        <v>0</v>
      </c>
      <c r="BJ26" s="259">
        <f t="shared" si="145"/>
        <v>0</v>
      </c>
      <c r="BK26" s="259">
        <f t="shared" si="146"/>
        <v>0</v>
      </c>
      <c r="BL26" s="259">
        <f t="shared" si="147"/>
        <v>0</v>
      </c>
      <c r="BM26" s="259">
        <f t="shared" si="148"/>
        <v>0</v>
      </c>
      <c r="BN26" s="259">
        <f t="shared" si="149"/>
        <v>0</v>
      </c>
      <c r="BO26" s="259">
        <f t="shared" si="150"/>
        <v>0</v>
      </c>
      <c r="BP26" s="259">
        <f t="shared" si="151"/>
        <v>0</v>
      </c>
      <c r="BQ26" s="259">
        <f t="shared" si="152"/>
        <v>0</v>
      </c>
      <c r="BR26" s="259">
        <f t="shared" si="153"/>
        <v>0</v>
      </c>
      <c r="BS26" s="259">
        <f t="shared" si="154"/>
        <v>0</v>
      </c>
      <c r="BT26" s="259">
        <f t="shared" si="155"/>
        <v>0</v>
      </c>
      <c r="BU26" s="259">
        <f t="shared" si="156"/>
        <v>0</v>
      </c>
      <c r="BV26" s="259">
        <f t="shared" si="157"/>
        <v>0</v>
      </c>
      <c r="BW26" s="259">
        <f t="shared" si="158"/>
        <v>0</v>
      </c>
      <c r="BX26" s="259">
        <f t="shared" si="159"/>
        <v>0</v>
      </c>
      <c r="BY26" s="259">
        <f t="shared" si="160"/>
        <v>0</v>
      </c>
      <c r="BZ26" s="259">
        <f t="shared" si="161"/>
        <v>0</v>
      </c>
      <c r="CA26" s="259">
        <f t="shared" si="162"/>
        <v>0</v>
      </c>
      <c r="CB26" s="259">
        <f t="shared" si="163"/>
        <v>0</v>
      </c>
      <c r="CC26" s="259">
        <f t="shared" si="164"/>
        <v>0</v>
      </c>
      <c r="CD26" s="259">
        <f t="shared" si="165"/>
        <v>0</v>
      </c>
      <c r="CE26" s="259">
        <f t="shared" si="166"/>
        <v>0</v>
      </c>
      <c r="CF26" s="259">
        <f t="shared" si="167"/>
        <v>0</v>
      </c>
      <c r="CG26" s="259">
        <f t="shared" si="168"/>
        <v>0</v>
      </c>
      <c r="CH26" s="259">
        <f t="shared" si="169"/>
        <v>0</v>
      </c>
      <c r="CI26" s="259">
        <f t="shared" si="170"/>
        <v>0</v>
      </c>
      <c r="CJ26" s="259">
        <f t="shared" si="171"/>
        <v>0</v>
      </c>
      <c r="CK26" s="259">
        <f t="shared" si="172"/>
        <v>0</v>
      </c>
      <c r="CL26" s="259">
        <f t="shared" si="173"/>
        <v>0</v>
      </c>
      <c r="CM26" s="259">
        <f t="shared" si="174"/>
        <v>0</v>
      </c>
      <c r="CN26" s="259">
        <f t="shared" si="175"/>
        <v>0</v>
      </c>
      <c r="CO26" s="259">
        <f t="shared" si="176"/>
        <v>0</v>
      </c>
      <c r="CP26" s="259">
        <f t="shared" si="177"/>
        <v>0</v>
      </c>
      <c r="CQ26" s="259">
        <f t="shared" si="178"/>
        <v>0</v>
      </c>
      <c r="CR26" s="259"/>
      <c r="CS26" s="259"/>
      <c r="CT26" s="259"/>
      <c r="CU26" s="259"/>
      <c r="CV26" s="259"/>
      <c r="CW26" s="259">
        <f t="shared" si="179"/>
        <v>0</v>
      </c>
      <c r="CX26" s="259">
        <f t="shared" si="180"/>
        <v>0</v>
      </c>
      <c r="CY26" s="259">
        <f t="shared" si="181"/>
        <v>0</v>
      </c>
      <c r="CZ26" s="259">
        <f t="shared" si="182"/>
        <v>0</v>
      </c>
      <c r="DA26" s="259">
        <f t="shared" si="183"/>
        <v>0</v>
      </c>
      <c r="DB26" s="259">
        <f t="shared" si="184"/>
        <v>0</v>
      </c>
      <c r="DC26" s="259">
        <f t="shared" si="185"/>
        <v>0</v>
      </c>
      <c r="DD26" s="259">
        <f t="shared" si="186"/>
        <v>0</v>
      </c>
      <c r="DE26" s="259">
        <f t="shared" si="187"/>
        <v>0</v>
      </c>
      <c r="DF26" s="259">
        <f t="shared" si="188"/>
        <v>0</v>
      </c>
      <c r="DG26" s="259">
        <f t="shared" si="189"/>
        <v>0</v>
      </c>
      <c r="DH26" s="259">
        <f t="shared" si="190"/>
        <v>0</v>
      </c>
      <c r="DI26" s="259">
        <f t="shared" si="191"/>
        <v>0</v>
      </c>
      <c r="DJ26" s="259">
        <f t="shared" si="192"/>
        <v>0</v>
      </c>
      <c r="DK26" s="259">
        <f t="shared" si="193"/>
        <v>0</v>
      </c>
      <c r="DL26" s="259">
        <f t="shared" si="194"/>
        <v>0</v>
      </c>
      <c r="DM26" s="259">
        <f t="shared" si="195"/>
        <v>0</v>
      </c>
      <c r="DN26" s="259">
        <f t="shared" si="196"/>
        <v>0</v>
      </c>
      <c r="DO26" s="259">
        <f t="shared" si="197"/>
        <v>0</v>
      </c>
      <c r="DP26" s="259">
        <f t="shared" si="198"/>
        <v>0</v>
      </c>
      <c r="DQ26" s="259">
        <f t="shared" si="199"/>
        <v>1</v>
      </c>
      <c r="DR26" s="259">
        <f t="shared" si="200"/>
        <v>0</v>
      </c>
      <c r="DS26" s="259">
        <f t="shared" si="201"/>
        <v>0</v>
      </c>
      <c r="DT26" s="259">
        <f t="shared" si="202"/>
        <v>0</v>
      </c>
      <c r="DU26" s="259">
        <f t="shared" si="203"/>
        <v>0</v>
      </c>
      <c r="DV26" s="259">
        <f t="shared" si="204"/>
        <v>0</v>
      </c>
      <c r="DW26" s="259">
        <f t="shared" si="205"/>
        <v>0</v>
      </c>
      <c r="DX26" s="259">
        <f t="shared" si="206"/>
        <v>0</v>
      </c>
      <c r="DY26" s="259">
        <f t="shared" si="207"/>
        <v>0</v>
      </c>
      <c r="DZ26" s="259">
        <f t="shared" si="208"/>
        <v>0</v>
      </c>
      <c r="EA26" s="259">
        <f t="shared" si="209"/>
        <v>0</v>
      </c>
      <c r="EB26" s="259">
        <f t="shared" si="210"/>
        <v>0</v>
      </c>
      <c r="EC26" s="263">
        <f t="shared" si="211"/>
        <v>0</v>
      </c>
      <c r="ED26" s="259">
        <f t="shared" si="212"/>
        <v>0</v>
      </c>
      <c r="EE26" s="259">
        <f t="shared" si="213"/>
        <v>0</v>
      </c>
      <c r="EF26" s="259">
        <f t="shared" si="214"/>
        <v>0</v>
      </c>
      <c r="EG26" s="259">
        <f t="shared" si="215"/>
        <v>0</v>
      </c>
      <c r="EH26" s="259">
        <f t="shared" si="216"/>
        <v>0</v>
      </c>
      <c r="EI26" s="259">
        <f t="shared" si="217"/>
        <v>1</v>
      </c>
      <c r="EJ26" s="259">
        <f t="shared" si="114"/>
        <v>0</v>
      </c>
      <c r="EK26" s="259">
        <f t="shared" si="218"/>
        <v>0</v>
      </c>
      <c r="EL26" s="259">
        <f t="shared" si="219"/>
        <v>0</v>
      </c>
      <c r="EM26" s="259">
        <f t="shared" si="220"/>
        <v>0</v>
      </c>
      <c r="EN26" s="259">
        <f t="shared" si="221"/>
        <v>0</v>
      </c>
      <c r="EO26" s="259">
        <f t="shared" si="222"/>
        <v>0</v>
      </c>
      <c r="EP26" s="259"/>
      <c r="EQ26" s="259">
        <f t="shared" si="223"/>
        <v>0</v>
      </c>
      <c r="ER26" s="259">
        <f t="shared" si="224"/>
        <v>0</v>
      </c>
      <c r="ES26" s="259">
        <f t="shared" si="225"/>
        <v>0</v>
      </c>
      <c r="ET26" s="259">
        <f t="shared" si="226"/>
        <v>0</v>
      </c>
      <c r="EU26" s="259">
        <f t="shared" si="227"/>
        <v>0</v>
      </c>
      <c r="EV26" s="259">
        <f t="shared" si="228"/>
        <v>0</v>
      </c>
      <c r="EW26" s="259">
        <f t="shared" si="229"/>
        <v>0</v>
      </c>
      <c r="EX26" s="259">
        <f t="shared" si="230"/>
        <v>0</v>
      </c>
      <c r="EY26" s="259">
        <f t="shared" si="231"/>
        <v>0</v>
      </c>
      <c r="EZ26" s="259">
        <f t="shared" si="232"/>
        <v>0</v>
      </c>
      <c r="FA26" s="259"/>
      <c r="FB26" s="259"/>
      <c r="FC26" s="259"/>
      <c r="FD26" s="259"/>
      <c r="FE26" s="259"/>
      <c r="FF26" s="259">
        <f t="shared" si="233"/>
        <v>0</v>
      </c>
      <c r="FG26" s="259">
        <f t="shared" si="234"/>
        <v>0</v>
      </c>
      <c r="FH26" s="259">
        <f t="shared" si="235"/>
        <v>0</v>
      </c>
      <c r="FI26" s="259">
        <f t="shared" si="236"/>
        <v>0</v>
      </c>
      <c r="FL26" s="159" t="s">
        <v>176</v>
      </c>
      <c r="FM26" s="160" t="s">
        <v>166</v>
      </c>
    </row>
    <row r="27" spans="1:169" ht="15.75" thickBot="1" x14ac:dyDescent="0.3">
      <c r="A27" s="304">
        <v>25</v>
      </c>
      <c r="B27" s="299" t="s">
        <v>4</v>
      </c>
      <c r="C27" s="300" t="s">
        <v>5</v>
      </c>
      <c r="D27" s="299"/>
      <c r="E27" s="301"/>
      <c r="F27" s="301"/>
      <c r="G27" s="301"/>
      <c r="H27" s="299"/>
      <c r="I27" s="299"/>
      <c r="J27" s="299"/>
      <c r="K27" s="301"/>
      <c r="L27" s="302"/>
      <c r="M27" s="301" t="s">
        <v>159</v>
      </c>
      <c r="N27" s="303"/>
      <c r="O27" s="302">
        <v>43005</v>
      </c>
      <c r="P27" s="259"/>
      <c r="Q27" s="191">
        <f>SUM(Y119,Y129,Y146,Y144,Y157,Y165,Y170,Y152,Y153,Y149)</f>
        <v>2</v>
      </c>
      <c r="R27" s="100" t="s">
        <v>46</v>
      </c>
      <c r="S27" s="190" t="s">
        <v>765</v>
      </c>
      <c r="U27" s="100" t="s">
        <v>3</v>
      </c>
      <c r="V27" s="91"/>
      <c r="X27" s="74" t="s">
        <v>3</v>
      </c>
      <c r="Y27" s="97"/>
      <c r="Z27" s="135">
        <f>SUM(AI29:AK29,AM29:AN29,AP29:AU29,AW29:BC29)</f>
        <v>0</v>
      </c>
      <c r="AA27" s="135">
        <f>SUM(BI29:CD29,CF29:CO29,CQ29)</f>
        <v>2</v>
      </c>
      <c r="AB27" s="135">
        <f t="shared" si="78"/>
        <v>0</v>
      </c>
      <c r="AC27" s="135">
        <f>SUM(EQ29:EX29,EZ29)</f>
        <v>0</v>
      </c>
      <c r="AD27" s="135">
        <f>SUM(FF29:FH29)</f>
        <v>0</v>
      </c>
      <c r="AF27" s="159" t="s">
        <v>177</v>
      </c>
      <c r="AG27" s="160" t="s">
        <v>178</v>
      </c>
      <c r="AH27" s="114">
        <f>SUM(AI27:AK27,AM27:AN27,AP27:AU27,AW27:BC27,BI27:CD27,CF27:CO27,CQ27,CW27:CZ27,DB27:DD27,DF27:EH27,EK27,EL27:EN27,EQ27:EX27,EZ27,FF27:FH27)</f>
        <v>0</v>
      </c>
      <c r="AI27" s="259">
        <f t="shared" si="122"/>
        <v>0</v>
      </c>
      <c r="AJ27" s="259">
        <f t="shared" si="123"/>
        <v>0</v>
      </c>
      <c r="AK27" s="259">
        <f t="shared" si="124"/>
        <v>0</v>
      </c>
      <c r="AL27" s="136">
        <f t="shared" si="125"/>
        <v>0</v>
      </c>
      <c r="AM27" s="259">
        <f t="shared" si="126"/>
        <v>0</v>
      </c>
      <c r="AN27" s="259">
        <f t="shared" si="127"/>
        <v>0</v>
      </c>
      <c r="AO27" s="259">
        <f t="shared" si="128"/>
        <v>0</v>
      </c>
      <c r="AP27" s="259">
        <f t="shared" si="129"/>
        <v>0</v>
      </c>
      <c r="AQ27" s="259">
        <f t="shared" si="130"/>
        <v>0</v>
      </c>
      <c r="AR27" s="259">
        <f t="shared" si="131"/>
        <v>0</v>
      </c>
      <c r="AS27" s="259">
        <f t="shared" si="132"/>
        <v>0</v>
      </c>
      <c r="AT27" s="259">
        <f t="shared" si="133"/>
        <v>0</v>
      </c>
      <c r="AU27" s="259">
        <f t="shared" si="134"/>
        <v>0</v>
      </c>
      <c r="AV27" s="259">
        <f t="shared" si="135"/>
        <v>0</v>
      </c>
      <c r="AW27" s="259">
        <f t="shared" si="136"/>
        <v>0</v>
      </c>
      <c r="AX27" s="259">
        <f t="shared" si="137"/>
        <v>0</v>
      </c>
      <c r="AY27" s="259">
        <f t="shared" si="138"/>
        <v>0</v>
      </c>
      <c r="AZ27" s="259">
        <f t="shared" si="139"/>
        <v>0</v>
      </c>
      <c r="BA27" s="259">
        <f t="shared" si="140"/>
        <v>0</v>
      </c>
      <c r="BB27" s="259">
        <f t="shared" si="141"/>
        <v>0</v>
      </c>
      <c r="BC27" s="263">
        <f t="shared" si="142"/>
        <v>0</v>
      </c>
      <c r="BD27" s="259">
        <f t="shared" si="143"/>
        <v>0</v>
      </c>
      <c r="BE27" s="259"/>
      <c r="BF27" s="259"/>
      <c r="BG27" s="259"/>
      <c r="BH27" s="259"/>
      <c r="BI27" s="259">
        <f t="shared" si="144"/>
        <v>0</v>
      </c>
      <c r="BJ27" s="259">
        <f t="shared" si="145"/>
        <v>0</v>
      </c>
      <c r="BK27" s="259">
        <f t="shared" si="146"/>
        <v>0</v>
      </c>
      <c r="BL27" s="259">
        <f t="shared" si="147"/>
        <v>0</v>
      </c>
      <c r="BM27" s="259">
        <f t="shared" si="148"/>
        <v>0</v>
      </c>
      <c r="BN27" s="259">
        <f t="shared" si="149"/>
        <v>0</v>
      </c>
      <c r="BO27" s="259">
        <f t="shared" si="150"/>
        <v>0</v>
      </c>
      <c r="BP27" s="259">
        <f t="shared" si="151"/>
        <v>0</v>
      </c>
      <c r="BQ27" s="259">
        <f t="shared" si="152"/>
        <v>0</v>
      </c>
      <c r="BR27" s="259">
        <f t="shared" si="153"/>
        <v>0</v>
      </c>
      <c r="BS27" s="259">
        <f t="shared" si="154"/>
        <v>0</v>
      </c>
      <c r="BT27" s="259">
        <f t="shared" si="155"/>
        <v>0</v>
      </c>
      <c r="BU27" s="259">
        <f t="shared" si="156"/>
        <v>0</v>
      </c>
      <c r="BV27" s="259">
        <f t="shared" si="157"/>
        <v>0</v>
      </c>
      <c r="BW27" s="259">
        <f t="shared" si="158"/>
        <v>0</v>
      </c>
      <c r="BX27" s="259">
        <f t="shared" si="159"/>
        <v>0</v>
      </c>
      <c r="BY27" s="259">
        <f t="shared" si="160"/>
        <v>0</v>
      </c>
      <c r="BZ27" s="259">
        <f t="shared" si="161"/>
        <v>0</v>
      </c>
      <c r="CA27" s="259">
        <f t="shared" si="162"/>
        <v>0</v>
      </c>
      <c r="CB27" s="259">
        <f t="shared" si="163"/>
        <v>0</v>
      </c>
      <c r="CC27" s="259">
        <f t="shared" si="164"/>
        <v>0</v>
      </c>
      <c r="CD27" s="259">
        <f t="shared" si="165"/>
        <v>0</v>
      </c>
      <c r="CE27" s="259">
        <f t="shared" si="166"/>
        <v>0</v>
      </c>
      <c r="CF27" s="259">
        <f t="shared" si="167"/>
        <v>0</v>
      </c>
      <c r="CG27" s="259">
        <f t="shared" si="168"/>
        <v>0</v>
      </c>
      <c r="CH27" s="259">
        <f t="shared" si="169"/>
        <v>0</v>
      </c>
      <c r="CI27" s="259">
        <f t="shared" si="170"/>
        <v>0</v>
      </c>
      <c r="CJ27" s="259">
        <f t="shared" si="171"/>
        <v>0</v>
      </c>
      <c r="CK27" s="259">
        <f t="shared" si="172"/>
        <v>0</v>
      </c>
      <c r="CL27" s="259">
        <f t="shared" si="173"/>
        <v>0</v>
      </c>
      <c r="CM27" s="259">
        <f t="shared" si="174"/>
        <v>0</v>
      </c>
      <c r="CN27" s="259">
        <f t="shared" si="175"/>
        <v>0</v>
      </c>
      <c r="CO27" s="259">
        <f t="shared" si="176"/>
        <v>0</v>
      </c>
      <c r="CP27" s="259">
        <f t="shared" si="177"/>
        <v>0</v>
      </c>
      <c r="CQ27" s="259">
        <f t="shared" si="178"/>
        <v>0</v>
      </c>
      <c r="CR27" s="259"/>
      <c r="CS27" s="259"/>
      <c r="CT27" s="259"/>
      <c r="CU27" s="259"/>
      <c r="CV27" s="259"/>
      <c r="CW27" s="259">
        <f t="shared" si="179"/>
        <v>0</v>
      </c>
      <c r="CX27" s="259">
        <f t="shared" si="180"/>
        <v>0</v>
      </c>
      <c r="CY27" s="259">
        <f t="shared" si="181"/>
        <v>0</v>
      </c>
      <c r="CZ27" s="259">
        <f t="shared" si="182"/>
        <v>0</v>
      </c>
      <c r="DA27" s="259">
        <f t="shared" si="183"/>
        <v>0</v>
      </c>
      <c r="DB27" s="259">
        <f t="shared" si="184"/>
        <v>0</v>
      </c>
      <c r="DC27" s="259">
        <f t="shared" si="185"/>
        <v>0</v>
      </c>
      <c r="DD27" s="259">
        <f t="shared" si="186"/>
        <v>0</v>
      </c>
      <c r="DE27" s="259">
        <f t="shared" si="187"/>
        <v>0</v>
      </c>
      <c r="DF27" s="259">
        <f t="shared" si="188"/>
        <v>0</v>
      </c>
      <c r="DG27" s="259">
        <f t="shared" si="189"/>
        <v>0</v>
      </c>
      <c r="DH27" s="259">
        <f t="shared" si="190"/>
        <v>0</v>
      </c>
      <c r="DI27" s="259">
        <f t="shared" si="191"/>
        <v>0</v>
      </c>
      <c r="DJ27" s="259">
        <f t="shared" si="192"/>
        <v>0</v>
      </c>
      <c r="DK27" s="259">
        <f t="shared" si="193"/>
        <v>0</v>
      </c>
      <c r="DL27" s="259">
        <f t="shared" si="194"/>
        <v>0</v>
      </c>
      <c r="DM27" s="259">
        <f t="shared" si="195"/>
        <v>0</v>
      </c>
      <c r="DN27" s="259">
        <f t="shared" si="196"/>
        <v>0</v>
      </c>
      <c r="DO27" s="259">
        <f t="shared" si="197"/>
        <v>0</v>
      </c>
      <c r="DP27" s="259">
        <f t="shared" si="198"/>
        <v>0</v>
      </c>
      <c r="DQ27" s="259">
        <f t="shared" si="199"/>
        <v>0</v>
      </c>
      <c r="DR27" s="259">
        <f t="shared" si="200"/>
        <v>0</v>
      </c>
      <c r="DS27" s="259">
        <f t="shared" si="201"/>
        <v>0</v>
      </c>
      <c r="DT27" s="259">
        <f t="shared" si="202"/>
        <v>0</v>
      </c>
      <c r="DU27" s="259">
        <f t="shared" si="203"/>
        <v>0</v>
      </c>
      <c r="DV27" s="259">
        <f t="shared" si="204"/>
        <v>0</v>
      </c>
      <c r="DW27" s="259">
        <f t="shared" si="205"/>
        <v>0</v>
      </c>
      <c r="DX27" s="259">
        <f t="shared" si="206"/>
        <v>0</v>
      </c>
      <c r="DY27" s="259">
        <f t="shared" si="207"/>
        <v>0</v>
      </c>
      <c r="DZ27" s="259">
        <f t="shared" si="208"/>
        <v>0</v>
      </c>
      <c r="EA27" s="259">
        <f t="shared" si="209"/>
        <v>0</v>
      </c>
      <c r="EB27" s="259">
        <f t="shared" si="210"/>
        <v>0</v>
      </c>
      <c r="EC27" s="263">
        <f t="shared" si="211"/>
        <v>0</v>
      </c>
      <c r="ED27" s="259">
        <f t="shared" si="212"/>
        <v>0</v>
      </c>
      <c r="EE27" s="259">
        <f t="shared" si="213"/>
        <v>0</v>
      </c>
      <c r="EF27" s="259">
        <f t="shared" si="214"/>
        <v>0</v>
      </c>
      <c r="EG27" s="259">
        <f t="shared" si="215"/>
        <v>0</v>
      </c>
      <c r="EH27" s="259">
        <f t="shared" si="216"/>
        <v>0</v>
      </c>
      <c r="EI27" s="259">
        <f t="shared" si="217"/>
        <v>0</v>
      </c>
      <c r="EJ27" s="259">
        <f t="shared" si="114"/>
        <v>0</v>
      </c>
      <c r="EK27" s="259">
        <f t="shared" si="218"/>
        <v>0</v>
      </c>
      <c r="EL27" s="259">
        <f t="shared" si="219"/>
        <v>0</v>
      </c>
      <c r="EM27" s="259">
        <f t="shared" si="220"/>
        <v>0</v>
      </c>
      <c r="EN27" s="259">
        <f t="shared" si="221"/>
        <v>0</v>
      </c>
      <c r="EO27" s="259">
        <f t="shared" si="222"/>
        <v>0</v>
      </c>
      <c r="EP27" s="259"/>
      <c r="EQ27" s="259">
        <f t="shared" si="223"/>
        <v>0</v>
      </c>
      <c r="ER27" s="259">
        <f t="shared" si="224"/>
        <v>0</v>
      </c>
      <c r="ES27" s="259">
        <f t="shared" si="225"/>
        <v>0</v>
      </c>
      <c r="ET27" s="259">
        <f t="shared" si="226"/>
        <v>0</v>
      </c>
      <c r="EU27" s="259">
        <f t="shared" si="227"/>
        <v>0</v>
      </c>
      <c r="EV27" s="259">
        <f t="shared" si="228"/>
        <v>0</v>
      </c>
      <c r="EW27" s="259">
        <f t="shared" si="229"/>
        <v>0</v>
      </c>
      <c r="EX27" s="259">
        <f t="shared" si="230"/>
        <v>0</v>
      </c>
      <c r="EY27" s="259">
        <f t="shared" si="231"/>
        <v>0</v>
      </c>
      <c r="EZ27" s="259">
        <f t="shared" si="232"/>
        <v>0</v>
      </c>
      <c r="FA27" s="259"/>
      <c r="FB27" s="259"/>
      <c r="FC27" s="259"/>
      <c r="FD27" s="259"/>
      <c r="FE27" s="259"/>
      <c r="FF27" s="259">
        <f t="shared" si="233"/>
        <v>0</v>
      </c>
      <c r="FG27" s="259">
        <f t="shared" si="234"/>
        <v>0</v>
      </c>
      <c r="FH27" s="259">
        <f t="shared" si="235"/>
        <v>0</v>
      </c>
      <c r="FI27" s="259">
        <f t="shared" si="236"/>
        <v>0</v>
      </c>
      <c r="FL27" s="159" t="s">
        <v>177</v>
      </c>
      <c r="FM27" s="160" t="s">
        <v>178</v>
      </c>
    </row>
    <row r="28" spans="1:169" ht="15.75" thickBot="1" x14ac:dyDescent="0.3">
      <c r="A28" s="304">
        <v>26</v>
      </c>
      <c r="B28" s="299" t="s">
        <v>777</v>
      </c>
      <c r="C28" s="300" t="s">
        <v>3</v>
      </c>
      <c r="D28" s="299"/>
      <c r="E28" s="301"/>
      <c r="F28" s="301"/>
      <c r="G28" s="301"/>
      <c r="H28" s="299"/>
      <c r="I28" s="299"/>
      <c r="J28" s="299"/>
      <c r="K28" s="301"/>
      <c r="L28" s="302"/>
      <c r="M28" s="301" t="s">
        <v>241</v>
      </c>
      <c r="N28" s="303"/>
      <c r="O28" s="302">
        <v>42997</v>
      </c>
      <c r="P28" s="259"/>
      <c r="Q28" s="191">
        <f>SUM(Y110,Y120,Y128,Y159,Y168)</f>
        <v>24</v>
      </c>
      <c r="R28" s="100" t="s">
        <v>10</v>
      </c>
      <c r="S28" s="82" t="s">
        <v>10</v>
      </c>
      <c r="X28" s="83" t="s">
        <v>114</v>
      </c>
      <c r="Y28" s="97">
        <f>COUNTIFS($B:$B,"CANONSBURG",$C:$C,"USCCB")</f>
        <v>0</v>
      </c>
      <c r="Z28" s="135">
        <f>SUM(AI30:AK30,AM30:AN30,AP30:AU30,AW30:BC30)</f>
        <v>0</v>
      </c>
      <c r="AA28" s="135">
        <f>SUM(BI30:CD30,CF30:CO30,CQ30)</f>
        <v>1</v>
      </c>
      <c r="AB28" s="135">
        <f t="shared" si="78"/>
        <v>0</v>
      </c>
      <c r="AC28" s="135">
        <f>SUM(EQ30:EX30,EZ30)</f>
        <v>0</v>
      </c>
      <c r="AD28" s="135">
        <f>SUM(FF30:FH30)</f>
        <v>0</v>
      </c>
      <c r="AF28" s="159" t="s">
        <v>281</v>
      </c>
      <c r="AG28" s="160" t="s">
        <v>280</v>
      </c>
      <c r="AH28" s="114">
        <f>SUM(AI28:AK28,AM28:AN28,AP28:AU28,AW28:BC28,BI28:CD28,CF28:CO28,CQ28,CW28:CZ28,DB28:DD28,DF28:EH28,EK28,EL28:EN28,EQ28:EX28,EZ28,FF28:FH28)</f>
        <v>0</v>
      </c>
      <c r="AI28" s="259">
        <f t="shared" si="122"/>
        <v>0</v>
      </c>
      <c r="AJ28" s="259">
        <f t="shared" si="123"/>
        <v>0</v>
      </c>
      <c r="AK28" s="259">
        <f t="shared" si="124"/>
        <v>0</v>
      </c>
      <c r="AL28" s="136">
        <f t="shared" si="125"/>
        <v>0</v>
      </c>
      <c r="AM28" s="259">
        <f t="shared" si="126"/>
        <v>0</v>
      </c>
      <c r="AN28" s="259">
        <f t="shared" si="127"/>
        <v>0</v>
      </c>
      <c r="AO28" s="259">
        <f t="shared" si="128"/>
        <v>0</v>
      </c>
      <c r="AP28" s="259">
        <f t="shared" si="129"/>
        <v>0</v>
      </c>
      <c r="AQ28" s="259">
        <f t="shared" si="130"/>
        <v>0</v>
      </c>
      <c r="AR28" s="259">
        <f t="shared" si="131"/>
        <v>0</v>
      </c>
      <c r="AS28" s="259">
        <f t="shared" si="132"/>
        <v>0</v>
      </c>
      <c r="AT28" s="259">
        <f t="shared" si="133"/>
        <v>0</v>
      </c>
      <c r="AU28" s="259">
        <f t="shared" si="134"/>
        <v>0</v>
      </c>
      <c r="AV28" s="259">
        <f t="shared" si="135"/>
        <v>0</v>
      </c>
      <c r="AW28" s="259">
        <f t="shared" si="136"/>
        <v>0</v>
      </c>
      <c r="AX28" s="259">
        <f t="shared" si="137"/>
        <v>0</v>
      </c>
      <c r="AY28" s="259">
        <f t="shared" si="138"/>
        <v>0</v>
      </c>
      <c r="AZ28" s="259">
        <f t="shared" si="139"/>
        <v>0</v>
      </c>
      <c r="BA28" s="259">
        <f t="shared" si="140"/>
        <v>0</v>
      </c>
      <c r="BB28" s="259">
        <f t="shared" si="141"/>
        <v>0</v>
      </c>
      <c r="BC28" s="263">
        <f t="shared" si="142"/>
        <v>0</v>
      </c>
      <c r="BD28" s="259">
        <f t="shared" si="143"/>
        <v>0</v>
      </c>
      <c r="BE28" s="259"/>
      <c r="BF28" s="259"/>
      <c r="BG28" s="259"/>
      <c r="BH28" s="259"/>
      <c r="BI28" s="259">
        <f t="shared" si="144"/>
        <v>0</v>
      </c>
      <c r="BJ28" s="259">
        <f t="shared" si="145"/>
        <v>0</v>
      </c>
      <c r="BK28" s="259">
        <f t="shared" si="146"/>
        <v>0</v>
      </c>
      <c r="BL28" s="259">
        <f t="shared" si="147"/>
        <v>0</v>
      </c>
      <c r="BM28" s="259">
        <f t="shared" si="148"/>
        <v>0</v>
      </c>
      <c r="BN28" s="259">
        <f t="shared" si="149"/>
        <v>0</v>
      </c>
      <c r="BO28" s="259">
        <f t="shared" si="150"/>
        <v>0</v>
      </c>
      <c r="BP28" s="259">
        <f t="shared" si="151"/>
        <v>0</v>
      </c>
      <c r="BQ28" s="259">
        <f t="shared" si="152"/>
        <v>0</v>
      </c>
      <c r="BR28" s="259">
        <f t="shared" si="153"/>
        <v>0</v>
      </c>
      <c r="BS28" s="259">
        <f t="shared" si="154"/>
        <v>0</v>
      </c>
      <c r="BT28" s="259">
        <f t="shared" si="155"/>
        <v>0</v>
      </c>
      <c r="BU28" s="259">
        <f t="shared" si="156"/>
        <v>0</v>
      </c>
      <c r="BV28" s="259">
        <f t="shared" si="157"/>
        <v>0</v>
      </c>
      <c r="BW28" s="259">
        <f t="shared" si="158"/>
        <v>0</v>
      </c>
      <c r="BX28" s="259">
        <f t="shared" si="159"/>
        <v>0</v>
      </c>
      <c r="BY28" s="259">
        <f t="shared" si="160"/>
        <v>0</v>
      </c>
      <c r="BZ28" s="259">
        <f t="shared" si="161"/>
        <v>0</v>
      </c>
      <c r="CA28" s="259">
        <f t="shared" si="162"/>
        <v>0</v>
      </c>
      <c r="CB28" s="259">
        <f t="shared" si="163"/>
        <v>0</v>
      </c>
      <c r="CC28" s="259">
        <f t="shared" si="164"/>
        <v>0</v>
      </c>
      <c r="CD28" s="259">
        <f t="shared" si="165"/>
        <v>0</v>
      </c>
      <c r="CE28" s="259">
        <f t="shared" si="166"/>
        <v>0</v>
      </c>
      <c r="CF28" s="259">
        <f t="shared" si="167"/>
        <v>0</v>
      </c>
      <c r="CG28" s="259">
        <f t="shared" si="168"/>
        <v>0</v>
      </c>
      <c r="CH28" s="259">
        <f t="shared" si="169"/>
        <v>0</v>
      </c>
      <c r="CI28" s="259">
        <f t="shared" si="170"/>
        <v>0</v>
      </c>
      <c r="CJ28" s="259">
        <f t="shared" si="171"/>
        <v>0</v>
      </c>
      <c r="CK28" s="259">
        <f t="shared" si="172"/>
        <v>0</v>
      </c>
      <c r="CL28" s="259">
        <f t="shared" si="173"/>
        <v>0</v>
      </c>
      <c r="CM28" s="259">
        <f t="shared" si="174"/>
        <v>0</v>
      </c>
      <c r="CN28" s="259">
        <f t="shared" si="175"/>
        <v>0</v>
      </c>
      <c r="CO28" s="259">
        <f t="shared" si="176"/>
        <v>0</v>
      </c>
      <c r="CP28" s="259">
        <f t="shared" si="177"/>
        <v>0</v>
      </c>
      <c r="CQ28" s="259">
        <f t="shared" si="178"/>
        <v>0</v>
      </c>
      <c r="CR28" s="259"/>
      <c r="CS28" s="259"/>
      <c r="CT28" s="259"/>
      <c r="CU28" s="259"/>
      <c r="CV28" s="259"/>
      <c r="CW28" s="259">
        <f t="shared" si="179"/>
        <v>0</v>
      </c>
      <c r="CX28" s="259">
        <f t="shared" si="180"/>
        <v>0</v>
      </c>
      <c r="CY28" s="259">
        <f t="shared" si="181"/>
        <v>0</v>
      </c>
      <c r="CZ28" s="259">
        <f t="shared" si="182"/>
        <v>0</v>
      </c>
      <c r="DA28" s="259">
        <f t="shared" si="183"/>
        <v>0</v>
      </c>
      <c r="DB28" s="259">
        <f t="shared" si="184"/>
        <v>0</v>
      </c>
      <c r="DC28" s="259">
        <f t="shared" si="185"/>
        <v>0</v>
      </c>
      <c r="DD28" s="259">
        <f t="shared" si="186"/>
        <v>0</v>
      </c>
      <c r="DE28" s="259">
        <f t="shared" si="187"/>
        <v>0</v>
      </c>
      <c r="DF28" s="259">
        <f t="shared" si="188"/>
        <v>0</v>
      </c>
      <c r="DG28" s="259">
        <f t="shared" si="189"/>
        <v>0</v>
      </c>
      <c r="DH28" s="259">
        <f t="shared" si="190"/>
        <v>0</v>
      </c>
      <c r="DI28" s="259">
        <f t="shared" si="191"/>
        <v>0</v>
      </c>
      <c r="DJ28" s="259">
        <f t="shared" si="192"/>
        <v>0</v>
      </c>
      <c r="DK28" s="259">
        <f t="shared" si="193"/>
        <v>0</v>
      </c>
      <c r="DL28" s="259">
        <f t="shared" si="194"/>
        <v>0</v>
      </c>
      <c r="DM28" s="259">
        <f t="shared" si="195"/>
        <v>0</v>
      </c>
      <c r="DN28" s="259">
        <f t="shared" si="196"/>
        <v>0</v>
      </c>
      <c r="DO28" s="259">
        <f t="shared" si="197"/>
        <v>0</v>
      </c>
      <c r="DP28" s="259">
        <f t="shared" si="198"/>
        <v>0</v>
      </c>
      <c r="DQ28" s="259">
        <f t="shared" si="199"/>
        <v>0</v>
      </c>
      <c r="DR28" s="259">
        <f t="shared" si="200"/>
        <v>0</v>
      </c>
      <c r="DS28" s="259">
        <f t="shared" si="201"/>
        <v>0</v>
      </c>
      <c r="DT28" s="259">
        <f t="shared" si="202"/>
        <v>0</v>
      </c>
      <c r="DU28" s="259">
        <f t="shared" si="203"/>
        <v>0</v>
      </c>
      <c r="DV28" s="259">
        <f t="shared" si="204"/>
        <v>0</v>
      </c>
      <c r="DW28" s="259">
        <f t="shared" si="205"/>
        <v>0</v>
      </c>
      <c r="DX28" s="259">
        <f t="shared" si="206"/>
        <v>0</v>
      </c>
      <c r="DY28" s="259">
        <f t="shared" si="207"/>
        <v>0</v>
      </c>
      <c r="DZ28" s="259">
        <f t="shared" si="208"/>
        <v>0</v>
      </c>
      <c r="EA28" s="259">
        <f t="shared" si="209"/>
        <v>0</v>
      </c>
      <c r="EB28" s="259">
        <f t="shared" si="210"/>
        <v>0</v>
      </c>
      <c r="EC28" s="263">
        <f t="shared" si="211"/>
        <v>0</v>
      </c>
      <c r="ED28" s="259">
        <f t="shared" si="212"/>
        <v>0</v>
      </c>
      <c r="EE28" s="259">
        <f t="shared" si="213"/>
        <v>0</v>
      </c>
      <c r="EF28" s="259">
        <f t="shared" si="214"/>
        <v>0</v>
      </c>
      <c r="EG28" s="259">
        <f t="shared" si="215"/>
        <v>0</v>
      </c>
      <c r="EH28" s="259">
        <f t="shared" si="216"/>
        <v>0</v>
      </c>
      <c r="EI28" s="259">
        <f t="shared" si="217"/>
        <v>0</v>
      </c>
      <c r="EJ28" s="259">
        <f t="shared" si="114"/>
        <v>0</v>
      </c>
      <c r="EK28" s="259">
        <f t="shared" si="218"/>
        <v>0</v>
      </c>
      <c r="EL28" s="259">
        <f t="shared" si="219"/>
        <v>0</v>
      </c>
      <c r="EM28" s="259">
        <f t="shared" si="220"/>
        <v>0</v>
      </c>
      <c r="EN28" s="259">
        <f t="shared" si="221"/>
        <v>0</v>
      </c>
      <c r="EO28" s="259">
        <f t="shared" si="222"/>
        <v>0</v>
      </c>
      <c r="EP28" s="259"/>
      <c r="EQ28" s="259">
        <f t="shared" si="223"/>
        <v>0</v>
      </c>
      <c r="ER28" s="259">
        <f t="shared" si="224"/>
        <v>0</v>
      </c>
      <c r="ES28" s="259">
        <f t="shared" si="225"/>
        <v>0</v>
      </c>
      <c r="ET28" s="259">
        <f t="shared" si="226"/>
        <v>0</v>
      </c>
      <c r="EU28" s="259">
        <f t="shared" si="227"/>
        <v>0</v>
      </c>
      <c r="EV28" s="259">
        <f t="shared" si="228"/>
        <v>0</v>
      </c>
      <c r="EW28" s="259">
        <f t="shared" si="229"/>
        <v>0</v>
      </c>
      <c r="EX28" s="259">
        <f t="shared" si="230"/>
        <v>0</v>
      </c>
      <c r="EY28" s="259">
        <f t="shared" si="231"/>
        <v>0</v>
      </c>
      <c r="EZ28" s="259">
        <f t="shared" si="232"/>
        <v>0</v>
      </c>
      <c r="FA28" s="259"/>
      <c r="FB28" s="259"/>
      <c r="FC28" s="259"/>
      <c r="FD28" s="259"/>
      <c r="FE28" s="259"/>
      <c r="FF28" s="259">
        <f t="shared" si="233"/>
        <v>0</v>
      </c>
      <c r="FG28" s="259">
        <f t="shared" si="234"/>
        <v>0</v>
      </c>
      <c r="FH28" s="259">
        <f t="shared" si="235"/>
        <v>0</v>
      </c>
      <c r="FI28" s="259">
        <f t="shared" si="236"/>
        <v>0</v>
      </c>
      <c r="FL28" s="159" t="s">
        <v>281</v>
      </c>
      <c r="FM28" s="160" t="s">
        <v>280</v>
      </c>
    </row>
    <row r="29" spans="1:169" ht="15.75" thickBot="1" x14ac:dyDescent="0.3">
      <c r="A29" s="304">
        <v>27</v>
      </c>
      <c r="B29" s="299" t="s">
        <v>777</v>
      </c>
      <c r="C29" s="300" t="s">
        <v>3</v>
      </c>
      <c r="D29" s="299"/>
      <c r="E29" s="301"/>
      <c r="F29" s="301"/>
      <c r="G29" s="301"/>
      <c r="H29" s="299"/>
      <c r="I29" s="299"/>
      <c r="J29" s="299"/>
      <c r="K29" s="301"/>
      <c r="L29" s="302"/>
      <c r="M29" s="301" t="s">
        <v>241</v>
      </c>
      <c r="N29" s="303"/>
      <c r="O29" s="302">
        <v>42997</v>
      </c>
      <c r="P29" s="259"/>
      <c r="S29" s="82"/>
      <c r="X29" s="83" t="s">
        <v>92</v>
      </c>
      <c r="Y29" s="97">
        <f>COUNTIFS($B:$B,"HANOVER TOWNSHIP",$C:$C,"USCCB")</f>
        <v>0</v>
      </c>
      <c r="Z29" s="135">
        <f>SUM(AI31:AK31,AM31:AN31,AP31:AU31,AW31:BC31)</f>
        <v>0</v>
      </c>
      <c r="AA29" s="135">
        <f>SUM(BI31:CD31,CF31:CO31,CQ31)</f>
        <v>0</v>
      </c>
      <c r="AB29" s="135">
        <f t="shared" si="78"/>
        <v>0</v>
      </c>
      <c r="AC29" s="135">
        <f>SUM(EQ31:EX31,EZ31)</f>
        <v>0</v>
      </c>
      <c r="AD29" s="135">
        <f>SUM(FF31:FH31)</f>
        <v>0</v>
      </c>
      <c r="AF29" s="159" t="s">
        <v>179</v>
      </c>
      <c r="AG29" s="160" t="s">
        <v>180</v>
      </c>
      <c r="AH29" s="114">
        <f>SUM(AI29:AK29,AM29:AN29,AP29:AU29,AW29:BC29,BI29:CD29,CF29:CO29,CQ29,CW29:CZ29,DB29:DD29,DF29:EH29,EK29,EL29:EN29,EQ29:EX29,EZ29,FF29:FH29)</f>
        <v>2</v>
      </c>
      <c r="AI29" s="259">
        <f t="shared" si="122"/>
        <v>0</v>
      </c>
      <c r="AJ29" s="259">
        <f t="shared" si="123"/>
        <v>0</v>
      </c>
      <c r="AK29" s="259">
        <f t="shared" si="124"/>
        <v>0</v>
      </c>
      <c r="AL29" s="136">
        <f t="shared" si="125"/>
        <v>0</v>
      </c>
      <c r="AM29" s="259">
        <f t="shared" si="126"/>
        <v>0</v>
      </c>
      <c r="AN29" s="259">
        <f t="shared" si="127"/>
        <v>0</v>
      </c>
      <c r="AO29" s="259">
        <f t="shared" si="128"/>
        <v>0</v>
      </c>
      <c r="AP29" s="259">
        <f t="shared" si="129"/>
        <v>0</v>
      </c>
      <c r="AQ29" s="259">
        <f t="shared" si="130"/>
        <v>0</v>
      </c>
      <c r="AR29" s="259">
        <f t="shared" si="131"/>
        <v>0</v>
      </c>
      <c r="AS29" s="259">
        <f t="shared" si="132"/>
        <v>0</v>
      </c>
      <c r="AT29" s="259">
        <f t="shared" si="133"/>
        <v>0</v>
      </c>
      <c r="AU29" s="259">
        <f t="shared" si="134"/>
        <v>0</v>
      </c>
      <c r="AV29" s="259">
        <f t="shared" si="135"/>
        <v>0</v>
      </c>
      <c r="AW29" s="259">
        <f t="shared" si="136"/>
        <v>0</v>
      </c>
      <c r="AX29" s="259">
        <f t="shared" si="137"/>
        <v>0</v>
      </c>
      <c r="AY29" s="259">
        <f t="shared" si="138"/>
        <v>0</v>
      </c>
      <c r="AZ29" s="259">
        <f t="shared" si="139"/>
        <v>0</v>
      </c>
      <c r="BA29" s="259">
        <f t="shared" si="140"/>
        <v>0</v>
      </c>
      <c r="BB29" s="259">
        <f t="shared" si="141"/>
        <v>0</v>
      </c>
      <c r="BC29" s="263">
        <f t="shared" si="142"/>
        <v>0</v>
      </c>
      <c r="BD29" s="259">
        <f t="shared" si="143"/>
        <v>0</v>
      </c>
      <c r="BE29" s="259"/>
      <c r="BF29" s="259"/>
      <c r="BG29" s="259"/>
      <c r="BH29" s="259"/>
      <c r="BI29" s="259">
        <f t="shared" si="144"/>
        <v>0</v>
      </c>
      <c r="BJ29" s="259">
        <f t="shared" si="145"/>
        <v>0</v>
      </c>
      <c r="BK29" s="259">
        <f t="shared" si="146"/>
        <v>0</v>
      </c>
      <c r="BL29" s="259">
        <f t="shared" si="147"/>
        <v>0</v>
      </c>
      <c r="BM29" s="259">
        <f t="shared" si="148"/>
        <v>0</v>
      </c>
      <c r="BN29" s="259">
        <f t="shared" si="149"/>
        <v>0</v>
      </c>
      <c r="BO29" s="259">
        <f t="shared" si="150"/>
        <v>0</v>
      </c>
      <c r="BP29" s="259">
        <f t="shared" si="151"/>
        <v>0</v>
      </c>
      <c r="BQ29" s="259">
        <f t="shared" si="152"/>
        <v>0</v>
      </c>
      <c r="BR29" s="259">
        <f t="shared" si="153"/>
        <v>0</v>
      </c>
      <c r="BS29" s="259">
        <f t="shared" si="154"/>
        <v>0</v>
      </c>
      <c r="BT29" s="259">
        <f t="shared" si="155"/>
        <v>0</v>
      </c>
      <c r="BU29" s="259">
        <f t="shared" si="156"/>
        <v>0</v>
      </c>
      <c r="BV29" s="259">
        <f t="shared" si="157"/>
        <v>0</v>
      </c>
      <c r="BW29" s="259">
        <f t="shared" si="158"/>
        <v>0</v>
      </c>
      <c r="BX29" s="259">
        <f t="shared" si="159"/>
        <v>0</v>
      </c>
      <c r="BY29" s="259">
        <f t="shared" si="160"/>
        <v>0</v>
      </c>
      <c r="BZ29" s="259">
        <f t="shared" si="161"/>
        <v>0</v>
      </c>
      <c r="CA29" s="259">
        <f t="shared" si="162"/>
        <v>0</v>
      </c>
      <c r="CB29" s="259">
        <f t="shared" si="163"/>
        <v>0</v>
      </c>
      <c r="CC29" s="259">
        <f t="shared" si="164"/>
        <v>0</v>
      </c>
      <c r="CD29" s="259">
        <f t="shared" si="165"/>
        <v>0</v>
      </c>
      <c r="CE29" s="259">
        <f t="shared" si="166"/>
        <v>0</v>
      </c>
      <c r="CF29" s="259">
        <f t="shared" si="167"/>
        <v>0</v>
      </c>
      <c r="CG29" s="259">
        <f t="shared" si="168"/>
        <v>0</v>
      </c>
      <c r="CH29" s="259">
        <f t="shared" si="169"/>
        <v>0</v>
      </c>
      <c r="CI29" s="259">
        <f t="shared" si="170"/>
        <v>2</v>
      </c>
      <c r="CJ29" s="259">
        <f t="shared" si="171"/>
        <v>0</v>
      </c>
      <c r="CK29" s="259">
        <f t="shared" si="172"/>
        <v>0</v>
      </c>
      <c r="CL29" s="259">
        <f t="shared" si="173"/>
        <v>0</v>
      </c>
      <c r="CM29" s="259">
        <f t="shared" si="174"/>
        <v>0</v>
      </c>
      <c r="CN29" s="259">
        <f t="shared" si="175"/>
        <v>0</v>
      </c>
      <c r="CO29" s="259">
        <f t="shared" si="176"/>
        <v>0</v>
      </c>
      <c r="CP29" s="259">
        <f t="shared" si="177"/>
        <v>0</v>
      </c>
      <c r="CQ29" s="259">
        <f t="shared" si="178"/>
        <v>0</v>
      </c>
      <c r="CR29" s="259"/>
      <c r="CS29" s="259"/>
      <c r="CT29" s="259"/>
      <c r="CU29" s="259"/>
      <c r="CV29" s="259"/>
      <c r="CW29" s="259">
        <f t="shared" si="179"/>
        <v>0</v>
      </c>
      <c r="CX29" s="259">
        <f t="shared" si="180"/>
        <v>0</v>
      </c>
      <c r="CY29" s="259">
        <f t="shared" si="181"/>
        <v>0</v>
      </c>
      <c r="CZ29" s="259">
        <f t="shared" si="182"/>
        <v>0</v>
      </c>
      <c r="DA29" s="259">
        <f t="shared" si="183"/>
        <v>0</v>
      </c>
      <c r="DB29" s="259">
        <f t="shared" si="184"/>
        <v>0</v>
      </c>
      <c r="DC29" s="259">
        <f t="shared" si="185"/>
        <v>0</v>
      </c>
      <c r="DD29" s="259">
        <f t="shared" si="186"/>
        <v>0</v>
      </c>
      <c r="DE29" s="259">
        <f t="shared" si="187"/>
        <v>0</v>
      </c>
      <c r="DF29" s="259">
        <f t="shared" si="188"/>
        <v>0</v>
      </c>
      <c r="DG29" s="259">
        <f t="shared" si="189"/>
        <v>0</v>
      </c>
      <c r="DH29" s="259">
        <f t="shared" si="190"/>
        <v>0</v>
      </c>
      <c r="DI29" s="259">
        <f t="shared" si="191"/>
        <v>0</v>
      </c>
      <c r="DJ29" s="259">
        <f t="shared" si="192"/>
        <v>0</v>
      </c>
      <c r="DK29" s="259">
        <f t="shared" si="193"/>
        <v>0</v>
      </c>
      <c r="DL29" s="259">
        <f t="shared" si="194"/>
        <v>0</v>
      </c>
      <c r="DM29" s="259">
        <f t="shared" si="195"/>
        <v>0</v>
      </c>
      <c r="DN29" s="259">
        <f t="shared" si="196"/>
        <v>0</v>
      </c>
      <c r="DO29" s="259">
        <f t="shared" si="197"/>
        <v>0</v>
      </c>
      <c r="DP29" s="259">
        <f t="shared" si="198"/>
        <v>0</v>
      </c>
      <c r="DQ29" s="259">
        <f t="shared" si="199"/>
        <v>0</v>
      </c>
      <c r="DR29" s="259">
        <f t="shared" si="200"/>
        <v>0</v>
      </c>
      <c r="DS29" s="259">
        <f t="shared" si="201"/>
        <v>0</v>
      </c>
      <c r="DT29" s="259">
        <f t="shared" si="202"/>
        <v>0</v>
      </c>
      <c r="DU29" s="259">
        <f t="shared" si="203"/>
        <v>0</v>
      </c>
      <c r="DV29" s="259">
        <f t="shared" si="204"/>
        <v>0</v>
      </c>
      <c r="DW29" s="259">
        <f t="shared" si="205"/>
        <v>0</v>
      </c>
      <c r="DX29" s="259">
        <f t="shared" si="206"/>
        <v>0</v>
      </c>
      <c r="DY29" s="259">
        <f t="shared" si="207"/>
        <v>0</v>
      </c>
      <c r="DZ29" s="259">
        <f t="shared" si="208"/>
        <v>0</v>
      </c>
      <c r="EA29" s="259">
        <f t="shared" si="209"/>
        <v>0</v>
      </c>
      <c r="EB29" s="259">
        <f t="shared" si="210"/>
        <v>0</v>
      </c>
      <c r="EC29" s="263">
        <f t="shared" si="211"/>
        <v>0</v>
      </c>
      <c r="ED29" s="259">
        <f t="shared" si="212"/>
        <v>0</v>
      </c>
      <c r="EE29" s="259">
        <f t="shared" si="213"/>
        <v>0</v>
      </c>
      <c r="EF29" s="259">
        <f t="shared" si="214"/>
        <v>0</v>
      </c>
      <c r="EG29" s="259">
        <f t="shared" si="215"/>
        <v>0</v>
      </c>
      <c r="EH29" s="259">
        <f t="shared" si="216"/>
        <v>0</v>
      </c>
      <c r="EI29" s="259">
        <f t="shared" si="217"/>
        <v>0</v>
      </c>
      <c r="EJ29" s="259">
        <f t="shared" si="114"/>
        <v>0</v>
      </c>
      <c r="EK29" s="259">
        <f t="shared" si="218"/>
        <v>0</v>
      </c>
      <c r="EL29" s="259">
        <f t="shared" si="219"/>
        <v>0</v>
      </c>
      <c r="EM29" s="259">
        <f t="shared" si="220"/>
        <v>0</v>
      </c>
      <c r="EN29" s="259">
        <f t="shared" si="221"/>
        <v>0</v>
      </c>
      <c r="EO29" s="259">
        <f t="shared" si="222"/>
        <v>0</v>
      </c>
      <c r="EP29" s="259"/>
      <c r="EQ29" s="259">
        <f t="shared" si="223"/>
        <v>0</v>
      </c>
      <c r="ER29" s="259">
        <f t="shared" si="224"/>
        <v>0</v>
      </c>
      <c r="ES29" s="259">
        <f t="shared" si="225"/>
        <v>0</v>
      </c>
      <c r="ET29" s="259">
        <f t="shared" si="226"/>
        <v>0</v>
      </c>
      <c r="EU29" s="259">
        <f t="shared" si="227"/>
        <v>0</v>
      </c>
      <c r="EV29" s="259">
        <f t="shared" si="228"/>
        <v>0</v>
      </c>
      <c r="EW29" s="259">
        <f t="shared" si="229"/>
        <v>0</v>
      </c>
      <c r="EX29" s="259">
        <f t="shared" si="230"/>
        <v>0</v>
      </c>
      <c r="EY29" s="259">
        <f t="shared" si="231"/>
        <v>0</v>
      </c>
      <c r="EZ29" s="259">
        <f t="shared" si="232"/>
        <v>0</v>
      </c>
      <c r="FA29" s="259"/>
      <c r="FB29" s="259"/>
      <c r="FC29" s="259"/>
      <c r="FD29" s="259"/>
      <c r="FE29" s="259"/>
      <c r="FF29" s="259">
        <f t="shared" si="233"/>
        <v>0</v>
      </c>
      <c r="FG29" s="259">
        <f t="shared" si="234"/>
        <v>0</v>
      </c>
      <c r="FH29" s="259">
        <f t="shared" si="235"/>
        <v>0</v>
      </c>
      <c r="FI29" s="259">
        <f t="shared" si="236"/>
        <v>0</v>
      </c>
      <c r="FL29" s="159" t="s">
        <v>179</v>
      </c>
      <c r="FM29" s="160" t="s">
        <v>180</v>
      </c>
    </row>
    <row r="30" spans="1:169" ht="12.75" customHeight="1" thickBot="1" x14ac:dyDescent="0.3">
      <c r="A30" s="304">
        <v>28</v>
      </c>
      <c r="B30" s="299" t="s">
        <v>6</v>
      </c>
      <c r="C30" s="300" t="s">
        <v>3</v>
      </c>
      <c r="D30" s="299"/>
      <c r="E30" s="301"/>
      <c r="F30" s="301"/>
      <c r="G30" s="301"/>
      <c r="H30" s="299"/>
      <c r="I30" s="299"/>
      <c r="J30" s="299"/>
      <c r="K30" s="301"/>
      <c r="L30" s="302"/>
      <c r="M30" s="301" t="s">
        <v>136</v>
      </c>
      <c r="N30" s="303"/>
      <c r="O30" s="302">
        <v>43006</v>
      </c>
      <c r="P30" s="259"/>
      <c r="R30" s="81" t="s">
        <v>47</v>
      </c>
      <c r="S30" s="82"/>
      <c r="U30" s="81" t="s">
        <v>189</v>
      </c>
      <c r="V30" s="82"/>
      <c r="X30" s="83" t="s">
        <v>31</v>
      </c>
      <c r="Y30" s="97">
        <f>COUNTIFS($B:$B,"INDIANA",$C:$C,"USCCB")</f>
        <v>0</v>
      </c>
      <c r="Z30" s="135">
        <f>SUM(AI32:AK32,AM32:AN32,AP32:AU32,AW32:BC32)</f>
        <v>0</v>
      </c>
      <c r="AA30" s="135">
        <f>SUM(BI32:CD32,CF32:CO32,CQ32)</f>
        <v>0</v>
      </c>
      <c r="AB30" s="135">
        <f t="shared" si="78"/>
        <v>0</v>
      </c>
      <c r="AC30" s="135">
        <f>SUM(EQ32:EX32,EZ32)</f>
        <v>0</v>
      </c>
      <c r="AD30" s="135">
        <f>SUM(FF32:FH32)</f>
        <v>0</v>
      </c>
      <c r="AF30" s="159" t="s">
        <v>181</v>
      </c>
      <c r="AG30" s="160" t="s">
        <v>182</v>
      </c>
      <c r="AH30" s="114">
        <f>SUM(AI30:AK30,AM30:AN30,AP30:AU30,AW30:BC30,BI30:CD30,CF30:CO30,CQ30,CW30:CZ30,DB30:DD30,DF30:EH30,EK30,EL30:EN30,EQ30:EX30,EZ30,FF30:FH30)</f>
        <v>1</v>
      </c>
      <c r="AI30" s="259">
        <f t="shared" si="122"/>
        <v>0</v>
      </c>
      <c r="AJ30" s="259">
        <f t="shared" si="123"/>
        <v>0</v>
      </c>
      <c r="AK30" s="259">
        <f t="shared" si="124"/>
        <v>0</v>
      </c>
      <c r="AL30" s="136">
        <f t="shared" si="125"/>
        <v>0</v>
      </c>
      <c r="AM30" s="259">
        <f t="shared" si="126"/>
        <v>0</v>
      </c>
      <c r="AN30" s="259">
        <f t="shared" si="127"/>
        <v>0</v>
      </c>
      <c r="AO30" s="259">
        <f t="shared" si="128"/>
        <v>0</v>
      </c>
      <c r="AP30" s="259">
        <f t="shared" si="129"/>
        <v>0</v>
      </c>
      <c r="AQ30" s="259">
        <f t="shared" si="130"/>
        <v>0</v>
      </c>
      <c r="AR30" s="259">
        <f t="shared" si="131"/>
        <v>0</v>
      </c>
      <c r="AS30" s="259">
        <f t="shared" si="132"/>
        <v>0</v>
      </c>
      <c r="AT30" s="259">
        <f t="shared" si="133"/>
        <v>0</v>
      </c>
      <c r="AU30" s="259">
        <f t="shared" si="134"/>
        <v>0</v>
      </c>
      <c r="AV30" s="259">
        <f t="shared" si="135"/>
        <v>0</v>
      </c>
      <c r="AW30" s="259">
        <f t="shared" si="136"/>
        <v>0</v>
      </c>
      <c r="AX30" s="259">
        <f t="shared" si="137"/>
        <v>0</v>
      </c>
      <c r="AY30" s="259">
        <f t="shared" si="138"/>
        <v>0</v>
      </c>
      <c r="AZ30" s="259">
        <f t="shared" si="139"/>
        <v>0</v>
      </c>
      <c r="BA30" s="259">
        <f t="shared" si="140"/>
        <v>0</v>
      </c>
      <c r="BB30" s="259">
        <f t="shared" si="141"/>
        <v>0</v>
      </c>
      <c r="BC30" s="263">
        <f t="shared" si="142"/>
        <v>0</v>
      </c>
      <c r="BD30" s="259">
        <f t="shared" si="143"/>
        <v>0</v>
      </c>
      <c r="BE30" s="259"/>
      <c r="BF30" s="259"/>
      <c r="BG30" s="259"/>
      <c r="BH30" s="259"/>
      <c r="BI30" s="259">
        <f t="shared" si="144"/>
        <v>0</v>
      </c>
      <c r="BJ30" s="259">
        <f t="shared" si="145"/>
        <v>0</v>
      </c>
      <c r="BK30" s="259">
        <f t="shared" si="146"/>
        <v>0</v>
      </c>
      <c r="BL30" s="259">
        <f t="shared" si="147"/>
        <v>0</v>
      </c>
      <c r="BM30" s="259">
        <f t="shared" si="148"/>
        <v>0</v>
      </c>
      <c r="BN30" s="259">
        <f t="shared" si="149"/>
        <v>0</v>
      </c>
      <c r="BO30" s="259">
        <f t="shared" si="150"/>
        <v>0</v>
      </c>
      <c r="BP30" s="259">
        <f t="shared" si="151"/>
        <v>0</v>
      </c>
      <c r="BQ30" s="259">
        <f t="shared" si="152"/>
        <v>0</v>
      </c>
      <c r="BR30" s="259">
        <f t="shared" si="153"/>
        <v>0</v>
      </c>
      <c r="BS30" s="259">
        <f t="shared" si="154"/>
        <v>1</v>
      </c>
      <c r="BT30" s="259">
        <f t="shared" si="155"/>
        <v>0</v>
      </c>
      <c r="BU30" s="259">
        <f t="shared" si="156"/>
        <v>0</v>
      </c>
      <c r="BV30" s="259">
        <f t="shared" si="157"/>
        <v>0</v>
      </c>
      <c r="BW30" s="259">
        <f t="shared" si="158"/>
        <v>0</v>
      </c>
      <c r="BX30" s="259">
        <f t="shared" si="159"/>
        <v>0</v>
      </c>
      <c r="BY30" s="259">
        <f t="shared" si="160"/>
        <v>0</v>
      </c>
      <c r="BZ30" s="259">
        <f t="shared" si="161"/>
        <v>0</v>
      </c>
      <c r="CA30" s="259">
        <f t="shared" si="162"/>
        <v>0</v>
      </c>
      <c r="CB30" s="259">
        <f t="shared" si="163"/>
        <v>0</v>
      </c>
      <c r="CC30" s="259">
        <f t="shared" si="164"/>
        <v>0</v>
      </c>
      <c r="CD30" s="259">
        <f t="shared" si="165"/>
        <v>0</v>
      </c>
      <c r="CE30" s="259">
        <f t="shared" si="166"/>
        <v>1</v>
      </c>
      <c r="CF30" s="259">
        <f t="shared" si="167"/>
        <v>0</v>
      </c>
      <c r="CG30" s="259">
        <f t="shared" si="168"/>
        <v>0</v>
      </c>
      <c r="CH30" s="259">
        <f t="shared" si="169"/>
        <v>0</v>
      </c>
      <c r="CI30" s="259">
        <f t="shared" si="170"/>
        <v>0</v>
      </c>
      <c r="CJ30" s="259">
        <f t="shared" si="171"/>
        <v>0</v>
      </c>
      <c r="CK30" s="259">
        <f t="shared" si="172"/>
        <v>0</v>
      </c>
      <c r="CL30" s="259">
        <f t="shared" si="173"/>
        <v>0</v>
      </c>
      <c r="CM30" s="259">
        <f t="shared" si="174"/>
        <v>0</v>
      </c>
      <c r="CN30" s="259">
        <f t="shared" si="175"/>
        <v>0</v>
      </c>
      <c r="CO30" s="259">
        <f t="shared" si="176"/>
        <v>0</v>
      </c>
      <c r="CP30" s="259">
        <f t="shared" si="177"/>
        <v>0</v>
      </c>
      <c r="CQ30" s="259">
        <f t="shared" si="178"/>
        <v>0</v>
      </c>
      <c r="CR30" s="259"/>
      <c r="CS30" s="259"/>
      <c r="CT30" s="259"/>
      <c r="CU30" s="259"/>
      <c r="CV30" s="259"/>
      <c r="CW30" s="259">
        <f t="shared" si="179"/>
        <v>0</v>
      </c>
      <c r="CX30" s="259">
        <f t="shared" si="180"/>
        <v>0</v>
      </c>
      <c r="CY30" s="259">
        <f t="shared" si="181"/>
        <v>0</v>
      </c>
      <c r="CZ30" s="259">
        <f t="shared" si="182"/>
        <v>0</v>
      </c>
      <c r="DA30" s="259">
        <f t="shared" si="183"/>
        <v>0</v>
      </c>
      <c r="DB30" s="259">
        <f t="shared" si="184"/>
        <v>0</v>
      </c>
      <c r="DC30" s="259">
        <f t="shared" si="185"/>
        <v>0</v>
      </c>
      <c r="DD30" s="259">
        <f t="shared" si="186"/>
        <v>0</v>
      </c>
      <c r="DE30" s="259">
        <f t="shared" si="187"/>
        <v>0</v>
      </c>
      <c r="DF30" s="259">
        <f t="shared" si="188"/>
        <v>0</v>
      </c>
      <c r="DG30" s="259">
        <f t="shared" si="189"/>
        <v>0</v>
      </c>
      <c r="DH30" s="259">
        <f t="shared" si="190"/>
        <v>0</v>
      </c>
      <c r="DI30" s="259">
        <f t="shared" si="191"/>
        <v>0</v>
      </c>
      <c r="DJ30" s="259">
        <f t="shared" si="192"/>
        <v>0</v>
      </c>
      <c r="DK30" s="259">
        <f t="shared" si="193"/>
        <v>0</v>
      </c>
      <c r="DL30" s="259">
        <f t="shared" si="194"/>
        <v>0</v>
      </c>
      <c r="DM30" s="259">
        <f t="shared" si="195"/>
        <v>0</v>
      </c>
      <c r="DN30" s="259">
        <f t="shared" si="196"/>
        <v>0</v>
      </c>
      <c r="DO30" s="259">
        <f t="shared" si="197"/>
        <v>0</v>
      </c>
      <c r="DP30" s="259">
        <f t="shared" si="198"/>
        <v>0</v>
      </c>
      <c r="DQ30" s="259">
        <f t="shared" si="199"/>
        <v>0</v>
      </c>
      <c r="DR30" s="259">
        <f t="shared" si="200"/>
        <v>0</v>
      </c>
      <c r="DS30" s="259">
        <f t="shared" si="201"/>
        <v>0</v>
      </c>
      <c r="DT30" s="259">
        <f t="shared" si="202"/>
        <v>0</v>
      </c>
      <c r="DU30" s="259">
        <f t="shared" si="203"/>
        <v>0</v>
      </c>
      <c r="DV30" s="259">
        <f t="shared" si="204"/>
        <v>0</v>
      </c>
      <c r="DW30" s="259">
        <f t="shared" si="205"/>
        <v>0</v>
      </c>
      <c r="DX30" s="259">
        <f t="shared" si="206"/>
        <v>0</v>
      </c>
      <c r="DY30" s="259">
        <f t="shared" si="207"/>
        <v>0</v>
      </c>
      <c r="DZ30" s="259">
        <f t="shared" si="208"/>
        <v>0</v>
      </c>
      <c r="EA30" s="259">
        <f t="shared" si="209"/>
        <v>0</v>
      </c>
      <c r="EB30" s="259">
        <f t="shared" si="210"/>
        <v>0</v>
      </c>
      <c r="EC30" s="263">
        <f t="shared" si="211"/>
        <v>0</v>
      </c>
      <c r="ED30" s="259">
        <f t="shared" si="212"/>
        <v>0</v>
      </c>
      <c r="EE30" s="259">
        <f t="shared" si="213"/>
        <v>0</v>
      </c>
      <c r="EF30" s="259">
        <f t="shared" si="214"/>
        <v>0</v>
      </c>
      <c r="EG30" s="259">
        <f t="shared" si="215"/>
        <v>0</v>
      </c>
      <c r="EH30" s="259">
        <f t="shared" si="216"/>
        <v>0</v>
      </c>
      <c r="EI30" s="259">
        <f t="shared" si="217"/>
        <v>0</v>
      </c>
      <c r="EJ30" s="259">
        <f t="shared" si="114"/>
        <v>0</v>
      </c>
      <c r="EK30" s="259">
        <f t="shared" si="218"/>
        <v>0</v>
      </c>
      <c r="EL30" s="259">
        <f t="shared" si="219"/>
        <v>0</v>
      </c>
      <c r="EM30" s="259">
        <f t="shared" si="220"/>
        <v>0</v>
      </c>
      <c r="EN30" s="259">
        <f t="shared" si="221"/>
        <v>0</v>
      </c>
      <c r="EO30" s="259">
        <f t="shared" si="222"/>
        <v>0</v>
      </c>
      <c r="EP30" s="259"/>
      <c r="EQ30" s="259">
        <f t="shared" si="223"/>
        <v>0</v>
      </c>
      <c r="ER30" s="259">
        <f t="shared" si="224"/>
        <v>0</v>
      </c>
      <c r="ES30" s="259">
        <f t="shared" si="225"/>
        <v>0</v>
      </c>
      <c r="ET30" s="259">
        <f t="shared" si="226"/>
        <v>0</v>
      </c>
      <c r="EU30" s="259">
        <f t="shared" si="227"/>
        <v>0</v>
      </c>
      <c r="EV30" s="259">
        <f t="shared" si="228"/>
        <v>0</v>
      </c>
      <c r="EW30" s="259">
        <f t="shared" si="229"/>
        <v>0</v>
      </c>
      <c r="EX30" s="259">
        <f t="shared" si="230"/>
        <v>0</v>
      </c>
      <c r="EY30" s="259">
        <f t="shared" si="231"/>
        <v>0</v>
      </c>
      <c r="EZ30" s="259">
        <f t="shared" si="232"/>
        <v>0</v>
      </c>
      <c r="FA30" s="259"/>
      <c r="FB30" s="259"/>
      <c r="FC30" s="259"/>
      <c r="FD30" s="259"/>
      <c r="FE30" s="259"/>
      <c r="FF30" s="259">
        <f t="shared" si="233"/>
        <v>0</v>
      </c>
      <c r="FG30" s="259">
        <f t="shared" si="234"/>
        <v>0</v>
      </c>
      <c r="FH30" s="259">
        <f t="shared" si="235"/>
        <v>0</v>
      </c>
      <c r="FI30" s="259">
        <f t="shared" si="236"/>
        <v>0</v>
      </c>
      <c r="FL30" s="159" t="s">
        <v>181</v>
      </c>
      <c r="FM30" s="160" t="s">
        <v>182</v>
      </c>
    </row>
    <row r="31" spans="1:169" ht="15.75" thickBot="1" x14ac:dyDescent="0.3">
      <c r="A31" s="304">
        <v>29</v>
      </c>
      <c r="B31" s="299" t="s">
        <v>6</v>
      </c>
      <c r="C31" s="300" t="s">
        <v>3</v>
      </c>
      <c r="D31" s="299"/>
      <c r="E31" s="301"/>
      <c r="F31" s="301"/>
      <c r="G31" s="301"/>
      <c r="H31" s="299"/>
      <c r="I31" s="299"/>
      <c r="J31" s="299"/>
      <c r="K31" s="301"/>
      <c r="L31" s="302"/>
      <c r="M31" s="301" t="s">
        <v>136</v>
      </c>
      <c r="N31" s="303"/>
      <c r="O31" s="302">
        <v>43006</v>
      </c>
      <c r="P31" s="259"/>
      <c r="Q31" s="191">
        <f>SUM(Y183,Y185)</f>
        <v>0</v>
      </c>
      <c r="R31" s="101" t="s">
        <v>112</v>
      </c>
      <c r="S31" s="82" t="s">
        <v>262</v>
      </c>
      <c r="U31" s="101" t="s">
        <v>1</v>
      </c>
      <c r="V31" s="91"/>
      <c r="X31" s="83" t="s">
        <v>12</v>
      </c>
      <c r="Y31" s="97">
        <f>COUNTIFS($B:$B,"PITTSBURGH",$C:$C,"USCCB")</f>
        <v>0</v>
      </c>
      <c r="Z31" s="135">
        <f>SUM(AI33:AK33,AM33:AN33,AP33:AU33,AW33:BC33)</f>
        <v>0</v>
      </c>
      <c r="AA31" s="135">
        <f>SUM(BI33:CD33,CF33:CO33,CQ33)</f>
        <v>0</v>
      </c>
      <c r="AB31" s="135">
        <f t="shared" si="78"/>
        <v>0</v>
      </c>
      <c r="AC31" s="135">
        <f>SUM(EQ33:EX33,EZ33)</f>
        <v>0</v>
      </c>
      <c r="AD31" s="135">
        <f>SUM(FF33:FH33)</f>
        <v>0</v>
      </c>
      <c r="AF31" s="159" t="s">
        <v>183</v>
      </c>
      <c r="AG31" s="160" t="s">
        <v>184</v>
      </c>
      <c r="AH31" s="114">
        <f>SUM(AI31:AK31,AM31:AN31,AP31:AU31,AW31:BC31,BI31:CD31,CF31:CO31,CQ31,CW31:CZ31,DB31:DD31,DF31:EH31,EK31,EL31:EN31,EQ31:EX31,EZ31,FF31:FH31)</f>
        <v>0</v>
      </c>
      <c r="AI31" s="259">
        <f t="shared" si="122"/>
        <v>0</v>
      </c>
      <c r="AJ31" s="259">
        <f t="shared" si="123"/>
        <v>0</v>
      </c>
      <c r="AK31" s="259">
        <f t="shared" si="124"/>
        <v>0</v>
      </c>
      <c r="AL31" s="136">
        <f t="shared" si="125"/>
        <v>0</v>
      </c>
      <c r="AM31" s="259">
        <f t="shared" si="126"/>
        <v>0</v>
      </c>
      <c r="AN31" s="259">
        <f t="shared" si="127"/>
        <v>0</v>
      </c>
      <c r="AO31" s="259">
        <f t="shared" si="128"/>
        <v>0</v>
      </c>
      <c r="AP31" s="259">
        <f t="shared" si="129"/>
        <v>0</v>
      </c>
      <c r="AQ31" s="259">
        <f t="shared" si="130"/>
        <v>0</v>
      </c>
      <c r="AR31" s="259">
        <f t="shared" si="131"/>
        <v>0</v>
      </c>
      <c r="AS31" s="259">
        <f t="shared" si="132"/>
        <v>0</v>
      </c>
      <c r="AT31" s="259">
        <f t="shared" si="133"/>
        <v>0</v>
      </c>
      <c r="AU31" s="259">
        <f t="shared" si="134"/>
        <v>0</v>
      </c>
      <c r="AV31" s="259">
        <f t="shared" si="135"/>
        <v>0</v>
      </c>
      <c r="AW31" s="259">
        <f t="shared" si="136"/>
        <v>0</v>
      </c>
      <c r="AX31" s="259">
        <f t="shared" si="137"/>
        <v>0</v>
      </c>
      <c r="AY31" s="259">
        <f t="shared" si="138"/>
        <v>0</v>
      </c>
      <c r="AZ31" s="259">
        <f t="shared" si="139"/>
        <v>0</v>
      </c>
      <c r="BA31" s="259">
        <f t="shared" si="140"/>
        <v>0</v>
      </c>
      <c r="BB31" s="259">
        <f t="shared" si="141"/>
        <v>0</v>
      </c>
      <c r="BC31" s="263">
        <f t="shared" si="142"/>
        <v>0</v>
      </c>
      <c r="BD31" s="259">
        <f t="shared" si="143"/>
        <v>0</v>
      </c>
      <c r="BE31" s="259"/>
      <c r="BF31" s="259"/>
      <c r="BG31" s="259"/>
      <c r="BH31" s="259"/>
      <c r="BI31" s="259">
        <f t="shared" si="144"/>
        <v>0</v>
      </c>
      <c r="BJ31" s="259">
        <f t="shared" si="145"/>
        <v>0</v>
      </c>
      <c r="BK31" s="259">
        <f t="shared" si="146"/>
        <v>0</v>
      </c>
      <c r="BL31" s="259">
        <f t="shared" si="147"/>
        <v>0</v>
      </c>
      <c r="BM31" s="259">
        <f t="shared" si="148"/>
        <v>0</v>
      </c>
      <c r="BN31" s="259">
        <f t="shared" si="149"/>
        <v>0</v>
      </c>
      <c r="BO31" s="259">
        <f t="shared" si="150"/>
        <v>0</v>
      </c>
      <c r="BP31" s="259">
        <f t="shared" si="151"/>
        <v>0</v>
      </c>
      <c r="BQ31" s="259">
        <f t="shared" si="152"/>
        <v>0</v>
      </c>
      <c r="BR31" s="259">
        <f t="shared" si="153"/>
        <v>0</v>
      </c>
      <c r="BS31" s="259">
        <f t="shared" si="154"/>
        <v>0</v>
      </c>
      <c r="BT31" s="259">
        <f t="shared" si="155"/>
        <v>0</v>
      </c>
      <c r="BU31" s="259">
        <f t="shared" si="156"/>
        <v>0</v>
      </c>
      <c r="BV31" s="259">
        <f t="shared" si="157"/>
        <v>0</v>
      </c>
      <c r="BW31" s="259">
        <f t="shared" si="158"/>
        <v>0</v>
      </c>
      <c r="BX31" s="259">
        <f t="shared" si="159"/>
        <v>0</v>
      </c>
      <c r="BY31" s="259">
        <f t="shared" si="160"/>
        <v>0</v>
      </c>
      <c r="BZ31" s="259">
        <f t="shared" si="161"/>
        <v>0</v>
      </c>
      <c r="CA31" s="259">
        <f t="shared" si="162"/>
        <v>0</v>
      </c>
      <c r="CB31" s="259">
        <f t="shared" si="163"/>
        <v>0</v>
      </c>
      <c r="CC31" s="259">
        <f t="shared" si="164"/>
        <v>0</v>
      </c>
      <c r="CD31" s="259">
        <f t="shared" si="165"/>
        <v>0</v>
      </c>
      <c r="CE31" s="259">
        <f t="shared" si="166"/>
        <v>0</v>
      </c>
      <c r="CF31" s="259">
        <f t="shared" si="167"/>
        <v>0</v>
      </c>
      <c r="CG31" s="259">
        <f t="shared" si="168"/>
        <v>0</v>
      </c>
      <c r="CH31" s="259">
        <f t="shared" si="169"/>
        <v>0</v>
      </c>
      <c r="CI31" s="259">
        <f t="shared" si="170"/>
        <v>0</v>
      </c>
      <c r="CJ31" s="259">
        <f t="shared" si="171"/>
        <v>0</v>
      </c>
      <c r="CK31" s="259">
        <f t="shared" si="172"/>
        <v>0</v>
      </c>
      <c r="CL31" s="259">
        <f t="shared" si="173"/>
        <v>0</v>
      </c>
      <c r="CM31" s="259">
        <f t="shared" si="174"/>
        <v>0</v>
      </c>
      <c r="CN31" s="259">
        <f t="shared" si="175"/>
        <v>0</v>
      </c>
      <c r="CO31" s="259">
        <f t="shared" si="176"/>
        <v>0</v>
      </c>
      <c r="CP31" s="259">
        <f t="shared" si="177"/>
        <v>0</v>
      </c>
      <c r="CQ31" s="259">
        <f t="shared" si="178"/>
        <v>0</v>
      </c>
      <c r="CR31" s="259"/>
      <c r="CS31" s="259"/>
      <c r="CT31" s="259"/>
      <c r="CU31" s="259"/>
      <c r="CV31" s="259"/>
      <c r="CW31" s="259">
        <f t="shared" si="179"/>
        <v>0</v>
      </c>
      <c r="CX31" s="259">
        <f t="shared" si="180"/>
        <v>0</v>
      </c>
      <c r="CY31" s="259">
        <f t="shared" si="181"/>
        <v>0</v>
      </c>
      <c r="CZ31" s="259">
        <f t="shared" si="182"/>
        <v>0</v>
      </c>
      <c r="DA31" s="259">
        <f t="shared" si="183"/>
        <v>0</v>
      </c>
      <c r="DB31" s="259">
        <f t="shared" si="184"/>
        <v>0</v>
      </c>
      <c r="DC31" s="259">
        <f t="shared" si="185"/>
        <v>0</v>
      </c>
      <c r="DD31" s="259">
        <f t="shared" si="186"/>
        <v>0</v>
      </c>
      <c r="DE31" s="259">
        <f t="shared" si="187"/>
        <v>0</v>
      </c>
      <c r="DF31" s="259">
        <f t="shared" si="188"/>
        <v>0</v>
      </c>
      <c r="DG31" s="259">
        <f t="shared" si="189"/>
        <v>0</v>
      </c>
      <c r="DH31" s="259">
        <f t="shared" si="190"/>
        <v>0</v>
      </c>
      <c r="DI31" s="259">
        <f t="shared" si="191"/>
        <v>0</v>
      </c>
      <c r="DJ31" s="259">
        <f t="shared" si="192"/>
        <v>0</v>
      </c>
      <c r="DK31" s="259">
        <f t="shared" si="193"/>
        <v>0</v>
      </c>
      <c r="DL31" s="259">
        <f t="shared" si="194"/>
        <v>0</v>
      </c>
      <c r="DM31" s="259">
        <f t="shared" si="195"/>
        <v>0</v>
      </c>
      <c r="DN31" s="259">
        <f t="shared" si="196"/>
        <v>0</v>
      </c>
      <c r="DO31" s="259">
        <f t="shared" si="197"/>
        <v>0</v>
      </c>
      <c r="DP31" s="259">
        <f t="shared" si="198"/>
        <v>0</v>
      </c>
      <c r="DQ31" s="259">
        <f t="shared" si="199"/>
        <v>0</v>
      </c>
      <c r="DR31" s="259">
        <f t="shared" si="200"/>
        <v>0</v>
      </c>
      <c r="DS31" s="259">
        <f t="shared" si="201"/>
        <v>0</v>
      </c>
      <c r="DT31" s="259">
        <f t="shared" si="202"/>
        <v>0</v>
      </c>
      <c r="DU31" s="259">
        <f t="shared" si="203"/>
        <v>0</v>
      </c>
      <c r="DV31" s="259">
        <f t="shared" si="204"/>
        <v>0</v>
      </c>
      <c r="DW31" s="259">
        <f t="shared" si="205"/>
        <v>0</v>
      </c>
      <c r="DX31" s="259">
        <f t="shared" si="206"/>
        <v>0</v>
      </c>
      <c r="DY31" s="259">
        <f t="shared" si="207"/>
        <v>0</v>
      </c>
      <c r="DZ31" s="259">
        <f t="shared" si="208"/>
        <v>0</v>
      </c>
      <c r="EA31" s="259">
        <f t="shared" si="209"/>
        <v>0</v>
      </c>
      <c r="EB31" s="259">
        <f t="shared" si="210"/>
        <v>0</v>
      </c>
      <c r="EC31" s="263">
        <f t="shared" si="211"/>
        <v>0</v>
      </c>
      <c r="ED31" s="259">
        <f t="shared" si="212"/>
        <v>0</v>
      </c>
      <c r="EE31" s="259">
        <f t="shared" si="213"/>
        <v>0</v>
      </c>
      <c r="EF31" s="259">
        <f t="shared" si="214"/>
        <v>0</v>
      </c>
      <c r="EG31" s="259">
        <f t="shared" si="215"/>
        <v>0</v>
      </c>
      <c r="EH31" s="259">
        <f t="shared" si="216"/>
        <v>0</v>
      </c>
      <c r="EI31" s="259">
        <f t="shared" si="217"/>
        <v>0</v>
      </c>
      <c r="EJ31" s="259">
        <f t="shared" si="114"/>
        <v>0</v>
      </c>
      <c r="EK31" s="259">
        <f t="shared" si="218"/>
        <v>0</v>
      </c>
      <c r="EL31" s="259">
        <f t="shared" si="219"/>
        <v>0</v>
      </c>
      <c r="EM31" s="259">
        <f t="shared" si="220"/>
        <v>0</v>
      </c>
      <c r="EN31" s="259">
        <f t="shared" si="221"/>
        <v>0</v>
      </c>
      <c r="EO31" s="259">
        <f t="shared" si="222"/>
        <v>0</v>
      </c>
      <c r="EP31" s="259"/>
      <c r="EQ31" s="259">
        <f t="shared" si="223"/>
        <v>0</v>
      </c>
      <c r="ER31" s="259">
        <f t="shared" si="224"/>
        <v>0</v>
      </c>
      <c r="ES31" s="259">
        <f t="shared" si="225"/>
        <v>0</v>
      </c>
      <c r="ET31" s="259">
        <f t="shared" si="226"/>
        <v>0</v>
      </c>
      <c r="EU31" s="259">
        <f t="shared" si="227"/>
        <v>0</v>
      </c>
      <c r="EV31" s="259">
        <f t="shared" si="228"/>
        <v>0</v>
      </c>
      <c r="EW31" s="259">
        <f t="shared" si="229"/>
        <v>0</v>
      </c>
      <c r="EX31" s="259">
        <f t="shared" si="230"/>
        <v>0</v>
      </c>
      <c r="EY31" s="259">
        <f t="shared" si="231"/>
        <v>0</v>
      </c>
      <c r="EZ31" s="259">
        <f t="shared" si="232"/>
        <v>0</v>
      </c>
      <c r="FA31" s="259"/>
      <c r="FB31" s="259"/>
      <c r="FC31" s="259"/>
      <c r="FD31" s="259"/>
      <c r="FE31" s="259"/>
      <c r="FF31" s="259">
        <f t="shared" si="233"/>
        <v>0</v>
      </c>
      <c r="FG31" s="259">
        <f t="shared" si="234"/>
        <v>0</v>
      </c>
      <c r="FH31" s="259">
        <f t="shared" si="235"/>
        <v>0</v>
      </c>
      <c r="FI31" s="259">
        <f t="shared" si="236"/>
        <v>0</v>
      </c>
      <c r="FL31" s="159" t="s">
        <v>183</v>
      </c>
      <c r="FM31" s="160" t="s">
        <v>184</v>
      </c>
    </row>
    <row r="32" spans="1:169" ht="15.75" thickBot="1" x14ac:dyDescent="0.3">
      <c r="A32" s="304">
        <v>30</v>
      </c>
      <c r="B32" s="299" t="s">
        <v>6</v>
      </c>
      <c r="C32" s="300" t="s">
        <v>3</v>
      </c>
      <c r="D32" s="299"/>
      <c r="E32" s="301"/>
      <c r="F32" s="301"/>
      <c r="G32" s="301"/>
      <c r="H32" s="299"/>
      <c r="I32" s="299"/>
      <c r="J32" s="299"/>
      <c r="K32" s="301"/>
      <c r="L32" s="302"/>
      <c r="M32" s="301" t="s">
        <v>150</v>
      </c>
      <c r="N32" s="303"/>
      <c r="O32" s="302">
        <v>43005</v>
      </c>
      <c r="P32" s="259"/>
      <c r="Q32" s="191">
        <f>SUM(Y186,Y187)</f>
        <v>11</v>
      </c>
      <c r="R32" s="101" t="s">
        <v>48</v>
      </c>
      <c r="S32" s="82" t="s">
        <v>263</v>
      </c>
      <c r="U32" s="101" t="s">
        <v>3</v>
      </c>
      <c r="V32" s="91"/>
      <c r="X32" s="83" t="s">
        <v>106</v>
      </c>
      <c r="Y32" s="97">
        <f>COUNTIFS($B:$B,"SHARPSBURG",$C:$C,"USCCB")</f>
        <v>0</v>
      </c>
      <c r="Z32" s="135">
        <f>SUM(AI34:AK34,AM34:AN34,AP34:AU34,AW34:BC34)</f>
        <v>0</v>
      </c>
      <c r="AA32" s="135">
        <f>SUM(BI34:CD34,CF34:CO34,CQ34)</f>
        <v>0</v>
      </c>
      <c r="AB32" s="135">
        <f t="shared" si="78"/>
        <v>0</v>
      </c>
      <c r="AC32" s="135">
        <f>SUM(EQ34:EX34,EZ34)</f>
        <v>0</v>
      </c>
      <c r="AD32" s="135">
        <f>SUM(FF34:FH34)</f>
        <v>0</v>
      </c>
      <c r="AF32" s="159" t="s">
        <v>185</v>
      </c>
      <c r="AG32" s="160" t="s">
        <v>186</v>
      </c>
      <c r="AH32" s="114">
        <f>SUM(AI32:AK32,AM32:AN32,AP32:AU32,AW32:BC32,BI32:CD32,CF32:CO32,CQ32,CW32:CZ32,DB32:DD32,DF32:EH32,EK32,EL32:EN32,EQ32:EX32,EZ32,FF32:FH32)</f>
        <v>0</v>
      </c>
      <c r="AI32" s="259">
        <f t="shared" si="122"/>
        <v>0</v>
      </c>
      <c r="AJ32" s="259">
        <f t="shared" si="123"/>
        <v>0</v>
      </c>
      <c r="AK32" s="259">
        <f t="shared" si="124"/>
        <v>0</v>
      </c>
      <c r="AL32" s="136">
        <f t="shared" si="125"/>
        <v>0</v>
      </c>
      <c r="AM32" s="259">
        <f t="shared" si="126"/>
        <v>0</v>
      </c>
      <c r="AN32" s="259">
        <f t="shared" si="127"/>
        <v>0</v>
      </c>
      <c r="AO32" s="259">
        <f t="shared" si="128"/>
        <v>0</v>
      </c>
      <c r="AP32" s="259">
        <f t="shared" si="129"/>
        <v>0</v>
      </c>
      <c r="AQ32" s="259">
        <f t="shared" si="130"/>
        <v>0</v>
      </c>
      <c r="AR32" s="259">
        <f t="shared" si="131"/>
        <v>0</v>
      </c>
      <c r="AS32" s="259">
        <f t="shared" si="132"/>
        <v>0</v>
      </c>
      <c r="AT32" s="259">
        <f t="shared" si="133"/>
        <v>0</v>
      </c>
      <c r="AU32" s="259">
        <f t="shared" si="134"/>
        <v>0</v>
      </c>
      <c r="AV32" s="259">
        <f t="shared" si="135"/>
        <v>0</v>
      </c>
      <c r="AW32" s="259">
        <f t="shared" si="136"/>
        <v>0</v>
      </c>
      <c r="AX32" s="259">
        <f t="shared" si="137"/>
        <v>0</v>
      </c>
      <c r="AY32" s="259">
        <f t="shared" si="138"/>
        <v>0</v>
      </c>
      <c r="AZ32" s="259">
        <f t="shared" si="139"/>
        <v>0</v>
      </c>
      <c r="BA32" s="259">
        <f t="shared" si="140"/>
        <v>0</v>
      </c>
      <c r="BB32" s="259">
        <f t="shared" si="141"/>
        <v>0</v>
      </c>
      <c r="BC32" s="263">
        <f t="shared" si="142"/>
        <v>0</v>
      </c>
      <c r="BD32" s="259">
        <f t="shared" si="143"/>
        <v>0</v>
      </c>
      <c r="BE32" s="259"/>
      <c r="BF32" s="259"/>
      <c r="BG32" s="259"/>
      <c r="BH32" s="259"/>
      <c r="BI32" s="259">
        <f t="shared" si="144"/>
        <v>0</v>
      </c>
      <c r="BJ32" s="259">
        <f t="shared" si="145"/>
        <v>0</v>
      </c>
      <c r="BK32" s="259">
        <f t="shared" si="146"/>
        <v>0</v>
      </c>
      <c r="BL32" s="259">
        <f t="shared" si="147"/>
        <v>0</v>
      </c>
      <c r="BM32" s="259">
        <f t="shared" si="148"/>
        <v>0</v>
      </c>
      <c r="BN32" s="259">
        <f t="shared" si="149"/>
        <v>0</v>
      </c>
      <c r="BO32" s="259">
        <f t="shared" si="150"/>
        <v>0</v>
      </c>
      <c r="BP32" s="259">
        <f t="shared" si="151"/>
        <v>0</v>
      </c>
      <c r="BQ32" s="259">
        <f t="shared" si="152"/>
        <v>0</v>
      </c>
      <c r="BR32" s="259">
        <f t="shared" si="153"/>
        <v>0</v>
      </c>
      <c r="BS32" s="259">
        <f t="shared" si="154"/>
        <v>0</v>
      </c>
      <c r="BT32" s="259">
        <f t="shared" si="155"/>
        <v>0</v>
      </c>
      <c r="BU32" s="259">
        <f t="shared" si="156"/>
        <v>0</v>
      </c>
      <c r="BV32" s="259">
        <f t="shared" si="157"/>
        <v>0</v>
      </c>
      <c r="BW32" s="259">
        <f t="shared" si="158"/>
        <v>0</v>
      </c>
      <c r="BX32" s="259">
        <f t="shared" si="159"/>
        <v>0</v>
      </c>
      <c r="BY32" s="259">
        <f t="shared" si="160"/>
        <v>0</v>
      </c>
      <c r="BZ32" s="259">
        <f t="shared" si="161"/>
        <v>0</v>
      </c>
      <c r="CA32" s="259">
        <f t="shared" si="162"/>
        <v>0</v>
      </c>
      <c r="CB32" s="259">
        <f t="shared" si="163"/>
        <v>0</v>
      </c>
      <c r="CC32" s="259">
        <f t="shared" si="164"/>
        <v>0</v>
      </c>
      <c r="CD32" s="259">
        <f t="shared" si="165"/>
        <v>0</v>
      </c>
      <c r="CE32" s="259">
        <f t="shared" si="166"/>
        <v>0</v>
      </c>
      <c r="CF32" s="259">
        <f t="shared" si="167"/>
        <v>0</v>
      </c>
      <c r="CG32" s="259">
        <f t="shared" si="168"/>
        <v>0</v>
      </c>
      <c r="CH32" s="259">
        <f t="shared" si="169"/>
        <v>0</v>
      </c>
      <c r="CI32" s="259">
        <f t="shared" si="170"/>
        <v>0</v>
      </c>
      <c r="CJ32" s="259">
        <f t="shared" si="171"/>
        <v>0</v>
      </c>
      <c r="CK32" s="259">
        <f t="shared" si="172"/>
        <v>0</v>
      </c>
      <c r="CL32" s="259">
        <f t="shared" si="173"/>
        <v>0</v>
      </c>
      <c r="CM32" s="259">
        <f t="shared" si="174"/>
        <v>0</v>
      </c>
      <c r="CN32" s="259">
        <f t="shared" si="175"/>
        <v>0</v>
      </c>
      <c r="CO32" s="259">
        <f t="shared" si="176"/>
        <v>0</v>
      </c>
      <c r="CP32" s="259">
        <f t="shared" si="177"/>
        <v>0</v>
      </c>
      <c r="CQ32" s="259">
        <f t="shared" si="178"/>
        <v>0</v>
      </c>
      <c r="CR32" s="259"/>
      <c r="CS32" s="259"/>
      <c r="CT32" s="259"/>
      <c r="CU32" s="259"/>
      <c r="CV32" s="259"/>
      <c r="CW32" s="259">
        <f t="shared" si="179"/>
        <v>0</v>
      </c>
      <c r="CX32" s="259">
        <f t="shared" si="180"/>
        <v>0</v>
      </c>
      <c r="CY32" s="259">
        <f t="shared" si="181"/>
        <v>0</v>
      </c>
      <c r="CZ32" s="259">
        <f t="shared" si="182"/>
        <v>0</v>
      </c>
      <c r="DA32" s="259">
        <f t="shared" si="183"/>
        <v>0</v>
      </c>
      <c r="DB32" s="259">
        <f t="shared" si="184"/>
        <v>0</v>
      </c>
      <c r="DC32" s="259">
        <f t="shared" si="185"/>
        <v>0</v>
      </c>
      <c r="DD32" s="259">
        <f t="shared" si="186"/>
        <v>0</v>
      </c>
      <c r="DE32" s="259">
        <f t="shared" si="187"/>
        <v>0</v>
      </c>
      <c r="DF32" s="259">
        <f t="shared" si="188"/>
        <v>0</v>
      </c>
      <c r="DG32" s="259">
        <f t="shared" si="189"/>
        <v>0</v>
      </c>
      <c r="DH32" s="259">
        <f t="shared" si="190"/>
        <v>0</v>
      </c>
      <c r="DI32" s="259">
        <f t="shared" si="191"/>
        <v>0</v>
      </c>
      <c r="DJ32" s="259">
        <f t="shared" si="192"/>
        <v>0</v>
      </c>
      <c r="DK32" s="259">
        <f t="shared" si="193"/>
        <v>0</v>
      </c>
      <c r="DL32" s="259">
        <f t="shared" si="194"/>
        <v>0</v>
      </c>
      <c r="DM32" s="259">
        <f t="shared" si="195"/>
        <v>0</v>
      </c>
      <c r="DN32" s="259">
        <f t="shared" si="196"/>
        <v>0</v>
      </c>
      <c r="DO32" s="259">
        <f t="shared" si="197"/>
        <v>0</v>
      </c>
      <c r="DP32" s="259">
        <f t="shared" si="198"/>
        <v>0</v>
      </c>
      <c r="DQ32" s="259">
        <f t="shared" si="199"/>
        <v>0</v>
      </c>
      <c r="DR32" s="259">
        <f t="shared" si="200"/>
        <v>0</v>
      </c>
      <c r="DS32" s="259">
        <f t="shared" si="201"/>
        <v>0</v>
      </c>
      <c r="DT32" s="259">
        <f t="shared" si="202"/>
        <v>0</v>
      </c>
      <c r="DU32" s="259">
        <f t="shared" si="203"/>
        <v>0</v>
      </c>
      <c r="DV32" s="259">
        <f t="shared" si="204"/>
        <v>0</v>
      </c>
      <c r="DW32" s="259">
        <f t="shared" si="205"/>
        <v>0</v>
      </c>
      <c r="DX32" s="259">
        <f t="shared" si="206"/>
        <v>0</v>
      </c>
      <c r="DY32" s="259">
        <f t="shared" si="207"/>
        <v>0</v>
      </c>
      <c r="DZ32" s="259">
        <f t="shared" si="208"/>
        <v>0</v>
      </c>
      <c r="EA32" s="259">
        <f t="shared" si="209"/>
        <v>0</v>
      </c>
      <c r="EB32" s="259">
        <f t="shared" si="210"/>
        <v>0</v>
      </c>
      <c r="EC32" s="263">
        <f t="shared" si="211"/>
        <v>0</v>
      </c>
      <c r="ED32" s="259">
        <f t="shared" si="212"/>
        <v>0</v>
      </c>
      <c r="EE32" s="259">
        <f t="shared" si="213"/>
        <v>0</v>
      </c>
      <c r="EF32" s="259">
        <f t="shared" si="214"/>
        <v>0</v>
      </c>
      <c r="EG32" s="259">
        <f t="shared" si="215"/>
        <v>0</v>
      </c>
      <c r="EH32" s="259">
        <f t="shared" si="216"/>
        <v>0</v>
      </c>
      <c r="EI32" s="259">
        <f t="shared" si="217"/>
        <v>0</v>
      </c>
      <c r="EJ32" s="259">
        <f t="shared" si="114"/>
        <v>0</v>
      </c>
      <c r="EK32" s="259">
        <f t="shared" si="218"/>
        <v>0</v>
      </c>
      <c r="EL32" s="259">
        <f t="shared" si="219"/>
        <v>0</v>
      </c>
      <c r="EM32" s="259">
        <f t="shared" si="220"/>
        <v>0</v>
      </c>
      <c r="EN32" s="259">
        <f t="shared" si="221"/>
        <v>0</v>
      </c>
      <c r="EO32" s="259">
        <f t="shared" si="222"/>
        <v>0</v>
      </c>
      <c r="EP32" s="259"/>
      <c r="EQ32" s="259">
        <f t="shared" si="223"/>
        <v>0</v>
      </c>
      <c r="ER32" s="259">
        <f t="shared" si="224"/>
        <v>0</v>
      </c>
      <c r="ES32" s="259">
        <f t="shared" si="225"/>
        <v>0</v>
      </c>
      <c r="ET32" s="259">
        <f t="shared" si="226"/>
        <v>0</v>
      </c>
      <c r="EU32" s="259">
        <f t="shared" si="227"/>
        <v>0</v>
      </c>
      <c r="EV32" s="259">
        <f t="shared" si="228"/>
        <v>0</v>
      </c>
      <c r="EW32" s="259">
        <f t="shared" si="229"/>
        <v>0</v>
      </c>
      <c r="EX32" s="259">
        <f t="shared" si="230"/>
        <v>0</v>
      </c>
      <c r="EY32" s="259">
        <f t="shared" si="231"/>
        <v>0</v>
      </c>
      <c r="EZ32" s="259">
        <f t="shared" si="232"/>
        <v>0</v>
      </c>
      <c r="FA32" s="259"/>
      <c r="FB32" s="259"/>
      <c r="FC32" s="259"/>
      <c r="FD32" s="259"/>
      <c r="FE32" s="259"/>
      <c r="FF32" s="259">
        <f t="shared" si="233"/>
        <v>0</v>
      </c>
      <c r="FG32" s="259">
        <f t="shared" si="234"/>
        <v>0</v>
      </c>
      <c r="FH32" s="259">
        <f t="shared" si="235"/>
        <v>0</v>
      </c>
      <c r="FI32" s="259">
        <f t="shared" si="236"/>
        <v>0</v>
      </c>
      <c r="FL32" s="159" t="s">
        <v>185</v>
      </c>
      <c r="FM32" s="160" t="s">
        <v>186</v>
      </c>
    </row>
    <row r="33" spans="1:169" ht="15.75" thickBot="1" x14ac:dyDescent="0.3">
      <c r="A33" s="304">
        <v>31</v>
      </c>
      <c r="B33" s="299" t="s">
        <v>6</v>
      </c>
      <c r="C33" s="300" t="s">
        <v>3</v>
      </c>
      <c r="D33" s="299"/>
      <c r="E33" s="301"/>
      <c r="F33" s="301"/>
      <c r="G33" s="301"/>
      <c r="H33" s="299"/>
      <c r="I33" s="299"/>
      <c r="J33" s="299"/>
      <c r="K33" s="301"/>
      <c r="L33" s="302"/>
      <c r="M33" s="301" t="s">
        <v>150</v>
      </c>
      <c r="N33" s="303"/>
      <c r="O33" s="302">
        <v>43005</v>
      </c>
      <c r="P33" s="259"/>
      <c r="Q33" s="191">
        <f>SUM(Y182,Y197,Y187)</f>
        <v>5</v>
      </c>
      <c r="R33" s="101" t="s">
        <v>49</v>
      </c>
      <c r="S33" s="82" t="s">
        <v>0</v>
      </c>
      <c r="U33" s="102" t="s">
        <v>196</v>
      </c>
      <c r="V33" s="103"/>
      <c r="X33" s="83" t="s">
        <v>770</v>
      </c>
      <c r="Y33" s="97">
        <f>COUNTIFS($B:$B,"DUBOIS",$C:$C,"USCCB")</f>
        <v>0</v>
      </c>
      <c r="Z33" s="135">
        <f>SUM(AI35:AK35,AM35:AN35,AP35:AU35,AW35:BC35)</f>
        <v>0</v>
      </c>
      <c r="AA33" s="135">
        <f>SUM(BI35:CD35,CF35:CO35,CQ35)</f>
        <v>0</v>
      </c>
      <c r="AB33" s="135">
        <f t="shared" si="78"/>
        <v>0</v>
      </c>
      <c r="AC33" s="135">
        <f>SUM(EQ35:EX35,EZ35)</f>
        <v>0</v>
      </c>
      <c r="AD33" s="135">
        <f>SUM(FF35:FH35)</f>
        <v>0</v>
      </c>
      <c r="AF33" s="159" t="s">
        <v>187</v>
      </c>
      <c r="AG33" s="160" t="s">
        <v>188</v>
      </c>
      <c r="AH33" s="114">
        <f>SUM(AI33:AK33,AM33:AN33,AP33:AU33,AW33:BC33,BI33:CD33,CF33:CO33,CQ33,CW33:CZ33,DB33:DD33,DF33:EH33,EK33,EL33:EN33,EQ33:EX33,EZ33,FF33:FH33)</f>
        <v>0</v>
      </c>
      <c r="AI33" s="259">
        <f t="shared" si="122"/>
        <v>0</v>
      </c>
      <c r="AJ33" s="259">
        <f t="shared" si="123"/>
        <v>0</v>
      </c>
      <c r="AK33" s="259">
        <f t="shared" si="124"/>
        <v>0</v>
      </c>
      <c r="AL33" s="136">
        <f t="shared" si="125"/>
        <v>0</v>
      </c>
      <c r="AM33" s="259">
        <f t="shared" si="126"/>
        <v>0</v>
      </c>
      <c r="AN33" s="259">
        <f t="shared" si="127"/>
        <v>0</v>
      </c>
      <c r="AO33" s="259">
        <f t="shared" si="128"/>
        <v>0</v>
      </c>
      <c r="AP33" s="259">
        <f t="shared" si="129"/>
        <v>0</v>
      </c>
      <c r="AQ33" s="259">
        <f t="shared" si="130"/>
        <v>0</v>
      </c>
      <c r="AR33" s="259">
        <f t="shared" si="131"/>
        <v>0</v>
      </c>
      <c r="AS33" s="259">
        <f t="shared" si="132"/>
        <v>0</v>
      </c>
      <c r="AT33" s="259">
        <f t="shared" si="133"/>
        <v>0</v>
      </c>
      <c r="AU33" s="259">
        <f t="shared" si="134"/>
        <v>0</v>
      </c>
      <c r="AV33" s="259">
        <f t="shared" si="135"/>
        <v>0</v>
      </c>
      <c r="AW33" s="259">
        <f t="shared" si="136"/>
        <v>0</v>
      </c>
      <c r="AX33" s="259">
        <f t="shared" si="137"/>
        <v>0</v>
      </c>
      <c r="AY33" s="259">
        <f t="shared" si="138"/>
        <v>0</v>
      </c>
      <c r="AZ33" s="259">
        <f t="shared" si="139"/>
        <v>0</v>
      </c>
      <c r="BA33" s="259">
        <f t="shared" si="140"/>
        <v>0</v>
      </c>
      <c r="BB33" s="259">
        <f t="shared" si="141"/>
        <v>0</v>
      </c>
      <c r="BC33" s="263">
        <f t="shared" si="142"/>
        <v>0</v>
      </c>
      <c r="BD33" s="259">
        <f t="shared" si="143"/>
        <v>0</v>
      </c>
      <c r="BE33" s="259"/>
      <c r="BF33" s="259"/>
      <c r="BG33" s="259"/>
      <c r="BH33" s="259"/>
      <c r="BI33" s="259">
        <f t="shared" si="144"/>
        <v>0</v>
      </c>
      <c r="BJ33" s="259">
        <f t="shared" si="145"/>
        <v>0</v>
      </c>
      <c r="BK33" s="259">
        <f t="shared" si="146"/>
        <v>0</v>
      </c>
      <c r="BL33" s="259">
        <f t="shared" si="147"/>
        <v>0</v>
      </c>
      <c r="BM33" s="259">
        <f t="shared" si="148"/>
        <v>0</v>
      </c>
      <c r="BN33" s="259">
        <f t="shared" si="149"/>
        <v>0</v>
      </c>
      <c r="BO33" s="259">
        <f t="shared" si="150"/>
        <v>0</v>
      </c>
      <c r="BP33" s="259">
        <f t="shared" si="151"/>
        <v>0</v>
      </c>
      <c r="BQ33" s="259">
        <f t="shared" si="152"/>
        <v>0</v>
      </c>
      <c r="BR33" s="259">
        <f t="shared" si="153"/>
        <v>0</v>
      </c>
      <c r="BS33" s="259">
        <f t="shared" si="154"/>
        <v>0</v>
      </c>
      <c r="BT33" s="259">
        <f t="shared" si="155"/>
        <v>0</v>
      </c>
      <c r="BU33" s="259">
        <f t="shared" si="156"/>
        <v>0</v>
      </c>
      <c r="BV33" s="259">
        <f t="shared" si="157"/>
        <v>0</v>
      </c>
      <c r="BW33" s="259">
        <f t="shared" si="158"/>
        <v>0</v>
      </c>
      <c r="BX33" s="259">
        <f t="shared" si="159"/>
        <v>0</v>
      </c>
      <c r="BY33" s="259">
        <f t="shared" si="160"/>
        <v>0</v>
      </c>
      <c r="BZ33" s="259">
        <f t="shared" si="161"/>
        <v>0</v>
      </c>
      <c r="CA33" s="259">
        <f t="shared" si="162"/>
        <v>0</v>
      </c>
      <c r="CB33" s="259">
        <f t="shared" si="163"/>
        <v>0</v>
      </c>
      <c r="CC33" s="259">
        <f t="shared" si="164"/>
        <v>0</v>
      </c>
      <c r="CD33" s="259">
        <f t="shared" si="165"/>
        <v>0</v>
      </c>
      <c r="CE33" s="259">
        <f t="shared" si="166"/>
        <v>0</v>
      </c>
      <c r="CF33" s="259">
        <f t="shared" si="167"/>
        <v>0</v>
      </c>
      <c r="CG33" s="259">
        <f t="shared" si="168"/>
        <v>0</v>
      </c>
      <c r="CH33" s="259">
        <f t="shared" si="169"/>
        <v>0</v>
      </c>
      <c r="CI33" s="259">
        <f t="shared" si="170"/>
        <v>0</v>
      </c>
      <c r="CJ33" s="259">
        <f t="shared" si="171"/>
        <v>0</v>
      </c>
      <c r="CK33" s="259">
        <f t="shared" si="172"/>
        <v>0</v>
      </c>
      <c r="CL33" s="259">
        <f t="shared" si="173"/>
        <v>0</v>
      </c>
      <c r="CM33" s="259">
        <f t="shared" si="174"/>
        <v>0</v>
      </c>
      <c r="CN33" s="259">
        <f t="shared" si="175"/>
        <v>0</v>
      </c>
      <c r="CO33" s="259">
        <f t="shared" si="176"/>
        <v>0</v>
      </c>
      <c r="CP33" s="259">
        <f t="shared" si="177"/>
        <v>0</v>
      </c>
      <c r="CQ33" s="259">
        <f t="shared" si="178"/>
        <v>0</v>
      </c>
      <c r="CR33" s="259"/>
      <c r="CS33" s="259"/>
      <c r="CT33" s="259"/>
      <c r="CU33" s="259"/>
      <c r="CV33" s="259"/>
      <c r="CW33" s="259">
        <f t="shared" si="179"/>
        <v>0</v>
      </c>
      <c r="CX33" s="259">
        <f t="shared" si="180"/>
        <v>0</v>
      </c>
      <c r="CY33" s="259">
        <f t="shared" si="181"/>
        <v>0</v>
      </c>
      <c r="CZ33" s="259">
        <f t="shared" si="182"/>
        <v>0</v>
      </c>
      <c r="DA33" s="259">
        <f t="shared" si="183"/>
        <v>0</v>
      </c>
      <c r="DB33" s="259">
        <f t="shared" si="184"/>
        <v>0</v>
      </c>
      <c r="DC33" s="259">
        <f t="shared" si="185"/>
        <v>0</v>
      </c>
      <c r="DD33" s="259">
        <f t="shared" si="186"/>
        <v>0</v>
      </c>
      <c r="DE33" s="259">
        <f t="shared" si="187"/>
        <v>0</v>
      </c>
      <c r="DF33" s="259">
        <f t="shared" si="188"/>
        <v>0</v>
      </c>
      <c r="DG33" s="259">
        <f t="shared" si="189"/>
        <v>0</v>
      </c>
      <c r="DH33" s="259">
        <f t="shared" si="190"/>
        <v>0</v>
      </c>
      <c r="DI33" s="259">
        <f t="shared" si="191"/>
        <v>0</v>
      </c>
      <c r="DJ33" s="259">
        <f t="shared" si="192"/>
        <v>0</v>
      </c>
      <c r="DK33" s="259">
        <f t="shared" si="193"/>
        <v>0</v>
      </c>
      <c r="DL33" s="259">
        <f t="shared" si="194"/>
        <v>0</v>
      </c>
      <c r="DM33" s="259">
        <f t="shared" si="195"/>
        <v>0</v>
      </c>
      <c r="DN33" s="259">
        <f t="shared" si="196"/>
        <v>0</v>
      </c>
      <c r="DO33" s="259">
        <f t="shared" si="197"/>
        <v>0</v>
      </c>
      <c r="DP33" s="259">
        <f t="shared" si="198"/>
        <v>0</v>
      </c>
      <c r="DQ33" s="259">
        <f t="shared" si="199"/>
        <v>0</v>
      </c>
      <c r="DR33" s="259">
        <f t="shared" si="200"/>
        <v>0</v>
      </c>
      <c r="DS33" s="259">
        <f t="shared" si="201"/>
        <v>0</v>
      </c>
      <c r="DT33" s="259">
        <f t="shared" si="202"/>
        <v>0</v>
      </c>
      <c r="DU33" s="259">
        <f t="shared" si="203"/>
        <v>0</v>
      </c>
      <c r="DV33" s="259">
        <f t="shared" si="204"/>
        <v>0</v>
      </c>
      <c r="DW33" s="259">
        <f t="shared" si="205"/>
        <v>0</v>
      </c>
      <c r="DX33" s="259">
        <f t="shared" si="206"/>
        <v>0</v>
      </c>
      <c r="DY33" s="259">
        <f t="shared" si="207"/>
        <v>0</v>
      </c>
      <c r="DZ33" s="259">
        <f t="shared" si="208"/>
        <v>0</v>
      </c>
      <c r="EA33" s="259">
        <f t="shared" si="209"/>
        <v>0</v>
      </c>
      <c r="EB33" s="259">
        <f t="shared" si="210"/>
        <v>0</v>
      </c>
      <c r="EC33" s="263">
        <f t="shared" si="211"/>
        <v>0</v>
      </c>
      <c r="ED33" s="259">
        <f t="shared" si="212"/>
        <v>0</v>
      </c>
      <c r="EE33" s="259">
        <f t="shared" si="213"/>
        <v>0</v>
      </c>
      <c r="EF33" s="259">
        <f t="shared" si="214"/>
        <v>0</v>
      </c>
      <c r="EG33" s="259">
        <f t="shared" si="215"/>
        <v>0</v>
      </c>
      <c r="EH33" s="259">
        <f t="shared" si="216"/>
        <v>0</v>
      </c>
      <c r="EI33" s="259">
        <f t="shared" si="217"/>
        <v>0</v>
      </c>
      <c r="EJ33" s="259">
        <f t="shared" si="114"/>
        <v>0</v>
      </c>
      <c r="EK33" s="259">
        <f t="shared" si="218"/>
        <v>0</v>
      </c>
      <c r="EL33" s="259">
        <f t="shared" si="219"/>
        <v>0</v>
      </c>
      <c r="EM33" s="259">
        <f t="shared" si="220"/>
        <v>0</v>
      </c>
      <c r="EN33" s="259">
        <f t="shared" si="221"/>
        <v>0</v>
      </c>
      <c r="EO33" s="259">
        <f t="shared" si="222"/>
        <v>0</v>
      </c>
      <c r="EP33" s="259"/>
      <c r="EQ33" s="259">
        <f t="shared" si="223"/>
        <v>0</v>
      </c>
      <c r="ER33" s="259">
        <f t="shared" si="224"/>
        <v>0</v>
      </c>
      <c r="ES33" s="259">
        <f t="shared" si="225"/>
        <v>0</v>
      </c>
      <c r="ET33" s="259">
        <f t="shared" si="226"/>
        <v>0</v>
      </c>
      <c r="EU33" s="259">
        <f t="shared" si="227"/>
        <v>0</v>
      </c>
      <c r="EV33" s="259">
        <f t="shared" si="228"/>
        <v>0</v>
      </c>
      <c r="EW33" s="259">
        <f t="shared" si="229"/>
        <v>0</v>
      </c>
      <c r="EX33" s="259">
        <f t="shared" si="230"/>
        <v>0</v>
      </c>
      <c r="EY33" s="259">
        <f t="shared" si="231"/>
        <v>0</v>
      </c>
      <c r="EZ33" s="259">
        <f t="shared" si="232"/>
        <v>0</v>
      </c>
      <c r="FA33" s="259"/>
      <c r="FB33" s="259"/>
      <c r="FC33" s="259"/>
      <c r="FD33" s="259"/>
      <c r="FE33" s="259"/>
      <c r="FF33" s="259">
        <f t="shared" si="233"/>
        <v>0</v>
      </c>
      <c r="FG33" s="259">
        <f t="shared" si="234"/>
        <v>0</v>
      </c>
      <c r="FH33" s="259">
        <f t="shared" si="235"/>
        <v>0</v>
      </c>
      <c r="FI33" s="259">
        <f t="shared" si="236"/>
        <v>0</v>
      </c>
      <c r="FL33" s="159" t="s">
        <v>187</v>
      </c>
      <c r="FM33" s="160" t="s">
        <v>188</v>
      </c>
    </row>
    <row r="34" spans="1:169" ht="15.75" thickBot="1" x14ac:dyDescent="0.3">
      <c r="A34" s="304">
        <v>32</v>
      </c>
      <c r="B34" s="299" t="s">
        <v>6</v>
      </c>
      <c r="C34" s="300" t="s">
        <v>3</v>
      </c>
      <c r="D34" s="299"/>
      <c r="E34" s="301"/>
      <c r="F34" s="301"/>
      <c r="G34" s="301"/>
      <c r="H34" s="299"/>
      <c r="I34" s="299"/>
      <c r="J34" s="299"/>
      <c r="K34" s="301"/>
      <c r="L34" s="302"/>
      <c r="M34" s="301" t="s">
        <v>150</v>
      </c>
      <c r="N34" s="303"/>
      <c r="O34" s="302">
        <v>43005</v>
      </c>
      <c r="P34" s="259"/>
      <c r="Q34" s="191">
        <f>Y189</f>
        <v>0</v>
      </c>
      <c r="R34" s="101" t="s">
        <v>50</v>
      </c>
      <c r="S34" s="82" t="s">
        <v>87</v>
      </c>
      <c r="U34" s="101" t="s">
        <v>3</v>
      </c>
      <c r="V34" s="91"/>
      <c r="X34" s="105"/>
      <c r="Y34" s="97"/>
      <c r="Z34" s="135">
        <f>SUM(AI36:AK36,AM36:AN36,AP36:AU36,AW36:BC36)</f>
        <v>0</v>
      </c>
      <c r="AA34" s="135">
        <f>SUM(BI36:CD36,CF36:CO36,CQ36)</f>
        <v>0</v>
      </c>
      <c r="AB34" s="135">
        <f t="shared" si="78"/>
        <v>0</v>
      </c>
      <c r="AC34" s="135">
        <f>SUM(EQ36:EX36,EZ36)</f>
        <v>0</v>
      </c>
      <c r="AD34" s="135">
        <f>SUM(FF36:FH36)</f>
        <v>0</v>
      </c>
      <c r="AF34" s="159" t="s">
        <v>190</v>
      </c>
      <c r="AG34" s="160" t="s">
        <v>191</v>
      </c>
      <c r="AH34" s="114">
        <f>SUM(AI34:AK34,AM34:AN34,AP34:AU34,AW34:BC34,BI34:CD34,CF34:CO34,CQ34,CW34:CZ34,DB34:DD34,DF34:EH34,EK34,EL34:EN34,EQ34:EX34,EZ34,FF34:FH34)</f>
        <v>0</v>
      </c>
      <c r="AI34" s="259">
        <f t="shared" si="122"/>
        <v>0</v>
      </c>
      <c r="AJ34" s="259">
        <f t="shared" si="123"/>
        <v>0</v>
      </c>
      <c r="AK34" s="259">
        <f t="shared" si="124"/>
        <v>0</v>
      </c>
      <c r="AL34" s="136">
        <f t="shared" si="125"/>
        <v>0</v>
      </c>
      <c r="AM34" s="259">
        <f t="shared" si="126"/>
        <v>0</v>
      </c>
      <c r="AN34" s="259">
        <f t="shared" si="127"/>
        <v>0</v>
      </c>
      <c r="AO34" s="259">
        <f t="shared" si="128"/>
        <v>0</v>
      </c>
      <c r="AP34" s="259">
        <f t="shared" si="129"/>
        <v>0</v>
      </c>
      <c r="AQ34" s="259">
        <f t="shared" si="130"/>
        <v>0</v>
      </c>
      <c r="AR34" s="259">
        <f t="shared" si="131"/>
        <v>0</v>
      </c>
      <c r="AS34" s="259">
        <f t="shared" si="132"/>
        <v>0</v>
      </c>
      <c r="AT34" s="259">
        <f t="shared" si="133"/>
        <v>0</v>
      </c>
      <c r="AU34" s="259">
        <f t="shared" si="134"/>
        <v>0</v>
      </c>
      <c r="AV34" s="259">
        <f t="shared" si="135"/>
        <v>0</v>
      </c>
      <c r="AW34" s="259">
        <f t="shared" si="136"/>
        <v>0</v>
      </c>
      <c r="AX34" s="259">
        <f t="shared" si="137"/>
        <v>0</v>
      </c>
      <c r="AY34" s="259">
        <f t="shared" si="138"/>
        <v>0</v>
      </c>
      <c r="AZ34" s="259">
        <f t="shared" si="139"/>
        <v>0</v>
      </c>
      <c r="BA34" s="259">
        <f t="shared" si="140"/>
        <v>0</v>
      </c>
      <c r="BB34" s="259">
        <f t="shared" si="141"/>
        <v>0</v>
      </c>
      <c r="BC34" s="263">
        <f t="shared" si="142"/>
        <v>0</v>
      </c>
      <c r="BD34" s="259">
        <f t="shared" si="143"/>
        <v>0</v>
      </c>
      <c r="BE34" s="259"/>
      <c r="BF34" s="259"/>
      <c r="BG34" s="259"/>
      <c r="BH34" s="259"/>
      <c r="BI34" s="259">
        <f t="shared" si="144"/>
        <v>0</v>
      </c>
      <c r="BJ34" s="259">
        <f t="shared" si="145"/>
        <v>0</v>
      </c>
      <c r="BK34" s="259">
        <f t="shared" si="146"/>
        <v>0</v>
      </c>
      <c r="BL34" s="259">
        <f t="shared" si="147"/>
        <v>0</v>
      </c>
      <c r="BM34" s="259">
        <f t="shared" si="148"/>
        <v>0</v>
      </c>
      <c r="BN34" s="259">
        <f t="shared" si="149"/>
        <v>0</v>
      </c>
      <c r="BO34" s="259">
        <f t="shared" si="150"/>
        <v>0</v>
      </c>
      <c r="BP34" s="259">
        <f t="shared" si="151"/>
        <v>0</v>
      </c>
      <c r="BQ34" s="259">
        <f t="shared" si="152"/>
        <v>0</v>
      </c>
      <c r="BR34" s="259">
        <f t="shared" si="153"/>
        <v>0</v>
      </c>
      <c r="BS34" s="259">
        <f t="shared" si="154"/>
        <v>0</v>
      </c>
      <c r="BT34" s="259">
        <f t="shared" si="155"/>
        <v>0</v>
      </c>
      <c r="BU34" s="259">
        <f t="shared" si="156"/>
        <v>0</v>
      </c>
      <c r="BV34" s="259">
        <f t="shared" si="157"/>
        <v>0</v>
      </c>
      <c r="BW34" s="259">
        <f t="shared" si="158"/>
        <v>0</v>
      </c>
      <c r="BX34" s="259">
        <f t="shared" si="159"/>
        <v>0</v>
      </c>
      <c r="BY34" s="259">
        <f t="shared" si="160"/>
        <v>0</v>
      </c>
      <c r="BZ34" s="259">
        <f t="shared" si="161"/>
        <v>0</v>
      </c>
      <c r="CA34" s="259">
        <f t="shared" si="162"/>
        <v>0</v>
      </c>
      <c r="CB34" s="259">
        <f t="shared" si="163"/>
        <v>0</v>
      </c>
      <c r="CC34" s="259">
        <f t="shared" si="164"/>
        <v>0</v>
      </c>
      <c r="CD34" s="259">
        <f t="shared" si="165"/>
        <v>0</v>
      </c>
      <c r="CE34" s="259">
        <f t="shared" si="166"/>
        <v>0</v>
      </c>
      <c r="CF34" s="259">
        <f t="shared" si="167"/>
        <v>0</v>
      </c>
      <c r="CG34" s="259">
        <f t="shared" si="168"/>
        <v>0</v>
      </c>
      <c r="CH34" s="259">
        <f t="shared" si="169"/>
        <v>0</v>
      </c>
      <c r="CI34" s="259">
        <f t="shared" si="170"/>
        <v>0</v>
      </c>
      <c r="CJ34" s="259">
        <f t="shared" si="171"/>
        <v>0</v>
      </c>
      <c r="CK34" s="259">
        <f t="shared" si="172"/>
        <v>0</v>
      </c>
      <c r="CL34" s="259">
        <f t="shared" si="173"/>
        <v>0</v>
      </c>
      <c r="CM34" s="259">
        <f t="shared" si="174"/>
        <v>0</v>
      </c>
      <c r="CN34" s="259">
        <f t="shared" si="175"/>
        <v>0</v>
      </c>
      <c r="CO34" s="259">
        <f t="shared" si="176"/>
        <v>0</v>
      </c>
      <c r="CP34" s="259">
        <f t="shared" si="177"/>
        <v>0</v>
      </c>
      <c r="CQ34" s="259">
        <f t="shared" si="178"/>
        <v>0</v>
      </c>
      <c r="CR34" s="259"/>
      <c r="CS34" s="259"/>
      <c r="CT34" s="259"/>
      <c r="CU34" s="259"/>
      <c r="CV34" s="259"/>
      <c r="CW34" s="259">
        <f t="shared" si="179"/>
        <v>0</v>
      </c>
      <c r="CX34" s="259">
        <f t="shared" si="180"/>
        <v>0</v>
      </c>
      <c r="CY34" s="259">
        <f t="shared" si="181"/>
        <v>0</v>
      </c>
      <c r="CZ34" s="259">
        <f t="shared" si="182"/>
        <v>0</v>
      </c>
      <c r="DA34" s="259">
        <f t="shared" si="183"/>
        <v>0</v>
      </c>
      <c r="DB34" s="259">
        <f t="shared" si="184"/>
        <v>0</v>
      </c>
      <c r="DC34" s="259">
        <f t="shared" si="185"/>
        <v>0</v>
      </c>
      <c r="DD34" s="259">
        <f t="shared" si="186"/>
        <v>0</v>
      </c>
      <c r="DE34" s="259">
        <f t="shared" si="187"/>
        <v>0</v>
      </c>
      <c r="DF34" s="259">
        <f t="shared" si="188"/>
        <v>0</v>
      </c>
      <c r="DG34" s="259">
        <f t="shared" si="189"/>
        <v>0</v>
      </c>
      <c r="DH34" s="259">
        <f t="shared" si="190"/>
        <v>0</v>
      </c>
      <c r="DI34" s="259">
        <f t="shared" si="191"/>
        <v>0</v>
      </c>
      <c r="DJ34" s="259">
        <f t="shared" si="192"/>
        <v>0</v>
      </c>
      <c r="DK34" s="259">
        <f t="shared" si="193"/>
        <v>0</v>
      </c>
      <c r="DL34" s="259">
        <f t="shared" si="194"/>
        <v>0</v>
      </c>
      <c r="DM34" s="259">
        <f t="shared" si="195"/>
        <v>0</v>
      </c>
      <c r="DN34" s="259">
        <f t="shared" si="196"/>
        <v>0</v>
      </c>
      <c r="DO34" s="259">
        <f t="shared" si="197"/>
        <v>0</v>
      </c>
      <c r="DP34" s="259">
        <f t="shared" si="198"/>
        <v>0</v>
      </c>
      <c r="DQ34" s="259">
        <f t="shared" si="199"/>
        <v>0</v>
      </c>
      <c r="DR34" s="259">
        <f t="shared" si="200"/>
        <v>0</v>
      </c>
      <c r="DS34" s="259">
        <f t="shared" si="201"/>
        <v>0</v>
      </c>
      <c r="DT34" s="259">
        <f t="shared" si="202"/>
        <v>0</v>
      </c>
      <c r="DU34" s="259">
        <f t="shared" si="203"/>
        <v>0</v>
      </c>
      <c r="DV34" s="259">
        <f t="shared" si="204"/>
        <v>0</v>
      </c>
      <c r="DW34" s="259">
        <f t="shared" si="205"/>
        <v>0</v>
      </c>
      <c r="DX34" s="259">
        <f t="shared" si="206"/>
        <v>0</v>
      </c>
      <c r="DY34" s="259">
        <f t="shared" si="207"/>
        <v>0</v>
      </c>
      <c r="DZ34" s="259">
        <f t="shared" si="208"/>
        <v>0</v>
      </c>
      <c r="EA34" s="259">
        <f t="shared" si="209"/>
        <v>0</v>
      </c>
      <c r="EB34" s="259">
        <f t="shared" si="210"/>
        <v>0</v>
      </c>
      <c r="EC34" s="263">
        <f t="shared" si="211"/>
        <v>0</v>
      </c>
      <c r="ED34" s="259">
        <f t="shared" si="212"/>
        <v>0</v>
      </c>
      <c r="EE34" s="259">
        <f t="shared" si="213"/>
        <v>0</v>
      </c>
      <c r="EF34" s="259">
        <f t="shared" si="214"/>
        <v>0</v>
      </c>
      <c r="EG34" s="259">
        <f t="shared" si="215"/>
        <v>0</v>
      </c>
      <c r="EH34" s="259">
        <f t="shared" si="216"/>
        <v>0</v>
      </c>
      <c r="EI34" s="259">
        <f t="shared" si="217"/>
        <v>0</v>
      </c>
      <c r="EJ34" s="259">
        <f t="shared" si="114"/>
        <v>0</v>
      </c>
      <c r="EK34" s="259">
        <f t="shared" si="218"/>
        <v>0</v>
      </c>
      <c r="EL34" s="259">
        <f t="shared" si="219"/>
        <v>0</v>
      </c>
      <c r="EM34" s="259">
        <f t="shared" si="220"/>
        <v>0</v>
      </c>
      <c r="EN34" s="259">
        <f t="shared" si="221"/>
        <v>0</v>
      </c>
      <c r="EO34" s="259">
        <f t="shared" si="222"/>
        <v>0</v>
      </c>
      <c r="EP34" s="259"/>
      <c r="EQ34" s="259">
        <f t="shared" si="223"/>
        <v>0</v>
      </c>
      <c r="ER34" s="259">
        <f t="shared" si="224"/>
        <v>0</v>
      </c>
      <c r="ES34" s="259">
        <f t="shared" si="225"/>
        <v>0</v>
      </c>
      <c r="ET34" s="259">
        <f t="shared" si="226"/>
        <v>0</v>
      </c>
      <c r="EU34" s="259">
        <f t="shared" si="227"/>
        <v>0</v>
      </c>
      <c r="EV34" s="259">
        <f t="shared" si="228"/>
        <v>0</v>
      </c>
      <c r="EW34" s="259">
        <f t="shared" si="229"/>
        <v>0</v>
      </c>
      <c r="EX34" s="259">
        <f t="shared" si="230"/>
        <v>0</v>
      </c>
      <c r="EY34" s="259">
        <f t="shared" si="231"/>
        <v>0</v>
      </c>
      <c r="EZ34" s="259">
        <f t="shared" si="232"/>
        <v>0</v>
      </c>
      <c r="FA34" s="259"/>
      <c r="FB34" s="259"/>
      <c r="FC34" s="259"/>
      <c r="FD34" s="259"/>
      <c r="FE34" s="259"/>
      <c r="FF34" s="259">
        <f t="shared" si="233"/>
        <v>0</v>
      </c>
      <c r="FG34" s="259">
        <f t="shared" si="234"/>
        <v>0</v>
      </c>
      <c r="FH34" s="259">
        <f t="shared" si="235"/>
        <v>0</v>
      </c>
      <c r="FI34" s="259">
        <f t="shared" si="236"/>
        <v>0</v>
      </c>
      <c r="FL34" s="159" t="s">
        <v>190</v>
      </c>
      <c r="FM34" s="160" t="s">
        <v>191</v>
      </c>
    </row>
    <row r="35" spans="1:169" ht="15.75" thickBot="1" x14ac:dyDescent="0.3">
      <c r="A35" s="304">
        <v>33</v>
      </c>
      <c r="B35" s="299" t="s">
        <v>6</v>
      </c>
      <c r="C35" s="300" t="s">
        <v>3</v>
      </c>
      <c r="D35" s="299"/>
      <c r="E35" s="301"/>
      <c r="F35" s="301"/>
      <c r="G35" s="301"/>
      <c r="H35" s="299"/>
      <c r="I35" s="299"/>
      <c r="J35" s="299"/>
      <c r="K35" s="301"/>
      <c r="L35" s="302"/>
      <c r="M35" s="301" t="s">
        <v>150</v>
      </c>
      <c r="N35" s="303"/>
      <c r="O35" s="302">
        <v>42999</v>
      </c>
      <c r="P35" s="259"/>
      <c r="Q35" s="191">
        <f>SUM(Y184,Y188)</f>
        <v>0</v>
      </c>
      <c r="R35" s="101" t="s">
        <v>51</v>
      </c>
      <c r="S35" s="82" t="s">
        <v>264</v>
      </c>
      <c r="Y35" s="97"/>
      <c r="Z35" s="135">
        <f>SUM(AI37:AK37,AM37:AN37,AP37:AU37,AW37:BC37)</f>
        <v>0</v>
      </c>
      <c r="AA35" s="135">
        <f>SUM(BI37:CD37,CF37:CO37,CQ37)</f>
        <v>0</v>
      </c>
      <c r="AB35" s="135">
        <f t="shared" si="78"/>
        <v>0</v>
      </c>
      <c r="AC35" s="135">
        <f>SUM(EQ37:EX37,EZ37)</f>
        <v>0</v>
      </c>
      <c r="AD35" s="135">
        <f>SUM(FF37:FH37)</f>
        <v>0</v>
      </c>
      <c r="AF35" s="159" t="s">
        <v>192</v>
      </c>
      <c r="AG35" s="160" t="s">
        <v>193</v>
      </c>
      <c r="AH35" s="114">
        <f>SUM(AI35:AK35,AM35:AN35,AP35:AU35,AW35:BC35,BI35:CD35,CF35:CO35,CQ35,CW35:CZ35,DB35:DD35,DF35:EH35,EK35,EL35:EN35,EQ35:EX35,EZ35,FF35:FH35)</f>
        <v>0</v>
      </c>
      <c r="AI35" s="259">
        <f t="shared" si="122"/>
        <v>0</v>
      </c>
      <c r="AJ35" s="259">
        <f t="shared" si="123"/>
        <v>0</v>
      </c>
      <c r="AK35" s="259">
        <f t="shared" si="124"/>
        <v>0</v>
      </c>
      <c r="AL35" s="136">
        <f t="shared" si="125"/>
        <v>0</v>
      </c>
      <c r="AM35" s="259">
        <f t="shared" si="126"/>
        <v>0</v>
      </c>
      <c r="AN35" s="259">
        <f t="shared" si="127"/>
        <v>0</v>
      </c>
      <c r="AO35" s="259">
        <f t="shared" si="128"/>
        <v>0</v>
      </c>
      <c r="AP35" s="259">
        <f t="shared" si="129"/>
        <v>0</v>
      </c>
      <c r="AQ35" s="259">
        <f t="shared" si="130"/>
        <v>0</v>
      </c>
      <c r="AR35" s="259">
        <f t="shared" si="131"/>
        <v>0</v>
      </c>
      <c r="AS35" s="259">
        <f t="shared" si="132"/>
        <v>0</v>
      </c>
      <c r="AT35" s="259">
        <f t="shared" si="133"/>
        <v>0</v>
      </c>
      <c r="AU35" s="259">
        <f t="shared" si="134"/>
        <v>0</v>
      </c>
      <c r="AV35" s="259">
        <f t="shared" si="135"/>
        <v>0</v>
      </c>
      <c r="AW35" s="259">
        <f t="shared" si="136"/>
        <v>0</v>
      </c>
      <c r="AX35" s="259">
        <f t="shared" si="137"/>
        <v>0</v>
      </c>
      <c r="AY35" s="259">
        <f t="shared" si="138"/>
        <v>0</v>
      </c>
      <c r="AZ35" s="259">
        <f t="shared" si="139"/>
        <v>0</v>
      </c>
      <c r="BA35" s="259">
        <f t="shared" si="140"/>
        <v>0</v>
      </c>
      <c r="BB35" s="259">
        <f t="shared" si="141"/>
        <v>0</v>
      </c>
      <c r="BC35" s="263">
        <f t="shared" si="142"/>
        <v>0</v>
      </c>
      <c r="BD35" s="259">
        <f t="shared" si="143"/>
        <v>0</v>
      </c>
      <c r="BE35" s="259"/>
      <c r="BF35" s="259"/>
      <c r="BG35" s="259"/>
      <c r="BH35" s="259"/>
      <c r="BI35" s="259">
        <f t="shared" si="144"/>
        <v>0</v>
      </c>
      <c r="BJ35" s="259">
        <f t="shared" si="145"/>
        <v>0</v>
      </c>
      <c r="BK35" s="259">
        <f t="shared" si="146"/>
        <v>0</v>
      </c>
      <c r="BL35" s="259">
        <f t="shared" si="147"/>
        <v>0</v>
      </c>
      <c r="BM35" s="259">
        <f t="shared" si="148"/>
        <v>0</v>
      </c>
      <c r="BN35" s="259">
        <f t="shared" si="149"/>
        <v>0</v>
      </c>
      <c r="BO35" s="259">
        <f t="shared" si="150"/>
        <v>0</v>
      </c>
      <c r="BP35" s="259">
        <f t="shared" si="151"/>
        <v>0</v>
      </c>
      <c r="BQ35" s="259">
        <f t="shared" si="152"/>
        <v>0</v>
      </c>
      <c r="BR35" s="259">
        <f t="shared" si="153"/>
        <v>0</v>
      </c>
      <c r="BS35" s="259">
        <f t="shared" si="154"/>
        <v>0</v>
      </c>
      <c r="BT35" s="259">
        <f t="shared" si="155"/>
        <v>0</v>
      </c>
      <c r="BU35" s="259">
        <f t="shared" si="156"/>
        <v>0</v>
      </c>
      <c r="BV35" s="259">
        <f t="shared" si="157"/>
        <v>0</v>
      </c>
      <c r="BW35" s="259">
        <f t="shared" si="158"/>
        <v>0</v>
      </c>
      <c r="BX35" s="259">
        <f t="shared" si="159"/>
        <v>0</v>
      </c>
      <c r="BY35" s="259">
        <f t="shared" si="160"/>
        <v>0</v>
      </c>
      <c r="BZ35" s="259">
        <f t="shared" si="161"/>
        <v>0</v>
      </c>
      <c r="CA35" s="259">
        <f t="shared" si="162"/>
        <v>0</v>
      </c>
      <c r="CB35" s="259">
        <f t="shared" si="163"/>
        <v>0</v>
      </c>
      <c r="CC35" s="259">
        <f t="shared" si="164"/>
        <v>0</v>
      </c>
      <c r="CD35" s="259">
        <f t="shared" si="165"/>
        <v>0</v>
      </c>
      <c r="CE35" s="259">
        <f t="shared" si="166"/>
        <v>0</v>
      </c>
      <c r="CF35" s="259">
        <f t="shared" si="167"/>
        <v>0</v>
      </c>
      <c r="CG35" s="259">
        <f t="shared" si="168"/>
        <v>0</v>
      </c>
      <c r="CH35" s="259">
        <f t="shared" si="169"/>
        <v>0</v>
      </c>
      <c r="CI35" s="259">
        <f t="shared" si="170"/>
        <v>0</v>
      </c>
      <c r="CJ35" s="259">
        <f t="shared" si="171"/>
        <v>0</v>
      </c>
      <c r="CK35" s="259">
        <f t="shared" si="172"/>
        <v>0</v>
      </c>
      <c r="CL35" s="259">
        <f t="shared" si="173"/>
        <v>0</v>
      </c>
      <c r="CM35" s="259">
        <f t="shared" si="174"/>
        <v>0</v>
      </c>
      <c r="CN35" s="259">
        <f t="shared" si="175"/>
        <v>0</v>
      </c>
      <c r="CO35" s="259">
        <f t="shared" si="176"/>
        <v>0</v>
      </c>
      <c r="CP35" s="259">
        <f t="shared" si="177"/>
        <v>0</v>
      </c>
      <c r="CQ35" s="259">
        <f t="shared" si="178"/>
        <v>0</v>
      </c>
      <c r="CR35" s="259"/>
      <c r="CS35" s="259"/>
      <c r="CT35" s="259"/>
      <c r="CU35" s="259"/>
      <c r="CV35" s="259"/>
      <c r="CW35" s="259">
        <f t="shared" si="179"/>
        <v>0</v>
      </c>
      <c r="CX35" s="259">
        <f t="shared" si="180"/>
        <v>0</v>
      </c>
      <c r="CY35" s="259">
        <f t="shared" si="181"/>
        <v>0</v>
      </c>
      <c r="CZ35" s="259">
        <f t="shared" si="182"/>
        <v>0</v>
      </c>
      <c r="DA35" s="259">
        <f t="shared" si="183"/>
        <v>0</v>
      </c>
      <c r="DB35" s="259">
        <f t="shared" si="184"/>
        <v>0</v>
      </c>
      <c r="DC35" s="259">
        <f t="shared" si="185"/>
        <v>0</v>
      </c>
      <c r="DD35" s="259">
        <f t="shared" si="186"/>
        <v>0</v>
      </c>
      <c r="DE35" s="259">
        <f t="shared" si="187"/>
        <v>0</v>
      </c>
      <c r="DF35" s="259">
        <f t="shared" si="188"/>
        <v>0</v>
      </c>
      <c r="DG35" s="259">
        <f t="shared" si="189"/>
        <v>0</v>
      </c>
      <c r="DH35" s="259">
        <f t="shared" si="190"/>
        <v>0</v>
      </c>
      <c r="DI35" s="259">
        <f t="shared" si="191"/>
        <v>0</v>
      </c>
      <c r="DJ35" s="259">
        <f t="shared" si="192"/>
        <v>0</v>
      </c>
      <c r="DK35" s="259">
        <f t="shared" si="193"/>
        <v>0</v>
      </c>
      <c r="DL35" s="259">
        <f t="shared" si="194"/>
        <v>0</v>
      </c>
      <c r="DM35" s="259">
        <f t="shared" si="195"/>
        <v>0</v>
      </c>
      <c r="DN35" s="259">
        <f t="shared" si="196"/>
        <v>0</v>
      </c>
      <c r="DO35" s="259">
        <f t="shared" si="197"/>
        <v>0</v>
      </c>
      <c r="DP35" s="259">
        <f t="shared" si="198"/>
        <v>0</v>
      </c>
      <c r="DQ35" s="259">
        <f t="shared" si="199"/>
        <v>0</v>
      </c>
      <c r="DR35" s="259">
        <f t="shared" si="200"/>
        <v>0</v>
      </c>
      <c r="DS35" s="259">
        <f t="shared" si="201"/>
        <v>0</v>
      </c>
      <c r="DT35" s="259">
        <f t="shared" si="202"/>
        <v>0</v>
      </c>
      <c r="DU35" s="259">
        <f t="shared" si="203"/>
        <v>0</v>
      </c>
      <c r="DV35" s="259">
        <f t="shared" si="204"/>
        <v>0</v>
      </c>
      <c r="DW35" s="259">
        <f t="shared" si="205"/>
        <v>0</v>
      </c>
      <c r="DX35" s="259">
        <f t="shared" si="206"/>
        <v>0</v>
      </c>
      <c r="DY35" s="259">
        <f t="shared" si="207"/>
        <v>0</v>
      </c>
      <c r="DZ35" s="259">
        <f t="shared" si="208"/>
        <v>0</v>
      </c>
      <c r="EA35" s="259">
        <f t="shared" si="209"/>
        <v>0</v>
      </c>
      <c r="EB35" s="259">
        <f t="shared" si="210"/>
        <v>0</v>
      </c>
      <c r="EC35" s="263">
        <f t="shared" si="211"/>
        <v>0</v>
      </c>
      <c r="ED35" s="259">
        <f t="shared" si="212"/>
        <v>0</v>
      </c>
      <c r="EE35" s="259">
        <f t="shared" si="213"/>
        <v>0</v>
      </c>
      <c r="EF35" s="259">
        <f t="shared" si="214"/>
        <v>0</v>
      </c>
      <c r="EG35" s="259">
        <f t="shared" si="215"/>
        <v>0</v>
      </c>
      <c r="EH35" s="259">
        <f t="shared" si="216"/>
        <v>0</v>
      </c>
      <c r="EI35" s="259">
        <f t="shared" si="217"/>
        <v>0</v>
      </c>
      <c r="EJ35" s="259">
        <f t="shared" si="114"/>
        <v>0</v>
      </c>
      <c r="EK35" s="259">
        <f t="shared" si="218"/>
        <v>0</v>
      </c>
      <c r="EL35" s="259">
        <f t="shared" si="219"/>
        <v>0</v>
      </c>
      <c r="EM35" s="259">
        <f t="shared" si="220"/>
        <v>0</v>
      </c>
      <c r="EN35" s="259">
        <f t="shared" si="221"/>
        <v>0</v>
      </c>
      <c r="EO35" s="259">
        <f t="shared" si="222"/>
        <v>0</v>
      </c>
      <c r="EP35" s="259"/>
      <c r="EQ35" s="259">
        <f t="shared" si="223"/>
        <v>0</v>
      </c>
      <c r="ER35" s="259">
        <f t="shared" si="224"/>
        <v>0</v>
      </c>
      <c r="ES35" s="259">
        <f t="shared" si="225"/>
        <v>0</v>
      </c>
      <c r="ET35" s="259">
        <f t="shared" si="226"/>
        <v>0</v>
      </c>
      <c r="EU35" s="259">
        <f t="shared" si="227"/>
        <v>0</v>
      </c>
      <c r="EV35" s="259">
        <f t="shared" si="228"/>
        <v>0</v>
      </c>
      <c r="EW35" s="259">
        <f t="shared" si="229"/>
        <v>0</v>
      </c>
      <c r="EX35" s="259">
        <f t="shared" si="230"/>
        <v>0</v>
      </c>
      <c r="EY35" s="259">
        <f t="shared" si="231"/>
        <v>0</v>
      </c>
      <c r="EZ35" s="259">
        <f t="shared" si="232"/>
        <v>0</v>
      </c>
      <c r="FA35" s="259"/>
      <c r="FB35" s="259"/>
      <c r="FC35" s="259"/>
      <c r="FD35" s="259"/>
      <c r="FE35" s="259"/>
      <c r="FF35" s="259">
        <f t="shared" si="233"/>
        <v>0</v>
      </c>
      <c r="FG35" s="259">
        <f t="shared" si="234"/>
        <v>0</v>
      </c>
      <c r="FH35" s="259">
        <f t="shared" si="235"/>
        <v>0</v>
      </c>
      <c r="FI35" s="259">
        <f t="shared" si="236"/>
        <v>0</v>
      </c>
      <c r="FL35" s="159" t="s">
        <v>192</v>
      </c>
      <c r="FM35" s="160" t="s">
        <v>193</v>
      </c>
    </row>
    <row r="36" spans="1:169" ht="15.75" thickBot="1" x14ac:dyDescent="0.3">
      <c r="A36" s="304">
        <v>34</v>
      </c>
      <c r="B36" s="299" t="s">
        <v>6</v>
      </c>
      <c r="C36" s="300" t="s">
        <v>3</v>
      </c>
      <c r="D36" s="299"/>
      <c r="E36" s="301"/>
      <c r="F36" s="301"/>
      <c r="G36" s="301"/>
      <c r="H36" s="299"/>
      <c r="I36" s="299"/>
      <c r="J36" s="299"/>
      <c r="K36" s="301"/>
      <c r="L36" s="302"/>
      <c r="M36" s="301" t="s">
        <v>150</v>
      </c>
      <c r="N36" s="303"/>
      <c r="O36" s="302">
        <v>42984</v>
      </c>
      <c r="P36" s="259"/>
      <c r="S36" s="82"/>
      <c r="Y36" s="97"/>
      <c r="Z36" s="135">
        <f>SUM(AI38:AK38,AM38:AN38,AP38:AU38,AW38:BC38)</f>
        <v>0</v>
      </c>
      <c r="AA36" s="135">
        <f>SUM(BI38:CD38,CF38:CO38,CQ38)</f>
        <v>0</v>
      </c>
      <c r="AB36" s="135">
        <f t="shared" si="78"/>
        <v>0</v>
      </c>
      <c r="AC36" s="135">
        <f>SUM(EQ38:EX38,EZ38)</f>
        <v>0</v>
      </c>
      <c r="AD36" s="135">
        <f>SUM(FF38:FH38)</f>
        <v>0</v>
      </c>
      <c r="AF36" s="159" t="s">
        <v>194</v>
      </c>
      <c r="AG36" s="160" t="s">
        <v>195</v>
      </c>
      <c r="AH36" s="114">
        <f>SUM(AI36:AK36,AM36:AN36,AP36:AU36,AW36:BC36,BI36:CD36,CF36:CO36,CQ36,CW36:CZ36,DB36:DD36,DF36:EH36,EK36,EL36:EN36,EQ36:EX36,EZ36,FF36:FH36)</f>
        <v>0</v>
      </c>
      <c r="AI36" s="259">
        <f t="shared" si="122"/>
        <v>0</v>
      </c>
      <c r="AJ36" s="259">
        <f t="shared" si="123"/>
        <v>0</v>
      </c>
      <c r="AK36" s="259">
        <f t="shared" si="124"/>
        <v>0</v>
      </c>
      <c r="AL36" s="136">
        <f t="shared" si="125"/>
        <v>0</v>
      </c>
      <c r="AM36" s="259">
        <f t="shared" si="126"/>
        <v>0</v>
      </c>
      <c r="AN36" s="259">
        <f t="shared" si="127"/>
        <v>0</v>
      </c>
      <c r="AO36" s="259">
        <f t="shared" si="128"/>
        <v>0</v>
      </c>
      <c r="AP36" s="259">
        <f t="shared" si="129"/>
        <v>0</v>
      </c>
      <c r="AQ36" s="259">
        <f t="shared" si="130"/>
        <v>0</v>
      </c>
      <c r="AR36" s="259">
        <f t="shared" si="131"/>
        <v>0</v>
      </c>
      <c r="AS36" s="259">
        <f t="shared" si="132"/>
        <v>0</v>
      </c>
      <c r="AT36" s="259">
        <f t="shared" si="133"/>
        <v>0</v>
      </c>
      <c r="AU36" s="259">
        <f t="shared" si="134"/>
        <v>0</v>
      </c>
      <c r="AV36" s="259">
        <f t="shared" si="135"/>
        <v>0</v>
      </c>
      <c r="AW36" s="259">
        <f t="shared" si="136"/>
        <v>0</v>
      </c>
      <c r="AX36" s="259">
        <f t="shared" si="137"/>
        <v>0</v>
      </c>
      <c r="AY36" s="259">
        <f t="shared" si="138"/>
        <v>0</v>
      </c>
      <c r="AZ36" s="259">
        <f t="shared" si="139"/>
        <v>0</v>
      </c>
      <c r="BA36" s="259">
        <f t="shared" si="140"/>
        <v>0</v>
      </c>
      <c r="BB36" s="259">
        <f t="shared" si="141"/>
        <v>0</v>
      </c>
      <c r="BC36" s="263">
        <f t="shared" si="142"/>
        <v>0</v>
      </c>
      <c r="BD36" s="259">
        <f t="shared" si="143"/>
        <v>0</v>
      </c>
      <c r="BE36" s="259"/>
      <c r="BF36" s="259"/>
      <c r="BG36" s="259"/>
      <c r="BH36" s="259"/>
      <c r="BI36" s="259">
        <f t="shared" si="144"/>
        <v>0</v>
      </c>
      <c r="BJ36" s="259">
        <f t="shared" si="145"/>
        <v>0</v>
      </c>
      <c r="BK36" s="259">
        <f t="shared" si="146"/>
        <v>0</v>
      </c>
      <c r="BL36" s="259">
        <f t="shared" si="147"/>
        <v>0</v>
      </c>
      <c r="BM36" s="259">
        <f t="shared" si="148"/>
        <v>0</v>
      </c>
      <c r="BN36" s="259">
        <f t="shared" si="149"/>
        <v>0</v>
      </c>
      <c r="BO36" s="259">
        <f t="shared" si="150"/>
        <v>0</v>
      </c>
      <c r="BP36" s="259">
        <f t="shared" si="151"/>
        <v>0</v>
      </c>
      <c r="BQ36" s="259">
        <f t="shared" si="152"/>
        <v>0</v>
      </c>
      <c r="BR36" s="259">
        <f t="shared" si="153"/>
        <v>0</v>
      </c>
      <c r="BS36" s="259">
        <f t="shared" si="154"/>
        <v>0</v>
      </c>
      <c r="BT36" s="259">
        <f t="shared" si="155"/>
        <v>0</v>
      </c>
      <c r="BU36" s="259">
        <f t="shared" si="156"/>
        <v>0</v>
      </c>
      <c r="BV36" s="259">
        <f t="shared" si="157"/>
        <v>0</v>
      </c>
      <c r="BW36" s="259">
        <f t="shared" si="158"/>
        <v>0</v>
      </c>
      <c r="BX36" s="259">
        <f t="shared" si="159"/>
        <v>0</v>
      </c>
      <c r="BY36" s="259">
        <f t="shared" si="160"/>
        <v>0</v>
      </c>
      <c r="BZ36" s="259">
        <f t="shared" si="161"/>
        <v>0</v>
      </c>
      <c r="CA36" s="259">
        <f t="shared" si="162"/>
        <v>0</v>
      </c>
      <c r="CB36" s="259">
        <f t="shared" si="163"/>
        <v>0</v>
      </c>
      <c r="CC36" s="259">
        <f t="shared" si="164"/>
        <v>0</v>
      </c>
      <c r="CD36" s="259">
        <f t="shared" si="165"/>
        <v>0</v>
      </c>
      <c r="CE36" s="259">
        <f t="shared" si="166"/>
        <v>0</v>
      </c>
      <c r="CF36" s="259">
        <f t="shared" si="167"/>
        <v>0</v>
      </c>
      <c r="CG36" s="259">
        <f t="shared" si="168"/>
        <v>0</v>
      </c>
      <c r="CH36" s="259">
        <f t="shared" si="169"/>
        <v>0</v>
      </c>
      <c r="CI36" s="259">
        <f t="shared" si="170"/>
        <v>0</v>
      </c>
      <c r="CJ36" s="259">
        <f t="shared" si="171"/>
        <v>0</v>
      </c>
      <c r="CK36" s="259">
        <f t="shared" si="172"/>
        <v>0</v>
      </c>
      <c r="CL36" s="259">
        <f t="shared" si="173"/>
        <v>0</v>
      </c>
      <c r="CM36" s="259">
        <f t="shared" si="174"/>
        <v>0</v>
      </c>
      <c r="CN36" s="259">
        <f t="shared" si="175"/>
        <v>0</v>
      </c>
      <c r="CO36" s="259">
        <f t="shared" si="176"/>
        <v>0</v>
      </c>
      <c r="CP36" s="259">
        <f t="shared" si="177"/>
        <v>0</v>
      </c>
      <c r="CQ36" s="259">
        <f t="shared" si="178"/>
        <v>0</v>
      </c>
      <c r="CR36" s="259"/>
      <c r="CS36" s="259"/>
      <c r="CT36" s="259"/>
      <c r="CU36" s="259"/>
      <c r="CV36" s="259"/>
      <c r="CW36" s="259">
        <f t="shared" si="179"/>
        <v>0</v>
      </c>
      <c r="CX36" s="259">
        <f t="shared" si="180"/>
        <v>0</v>
      </c>
      <c r="CY36" s="259">
        <f t="shared" si="181"/>
        <v>0</v>
      </c>
      <c r="CZ36" s="259">
        <f t="shared" si="182"/>
        <v>0</v>
      </c>
      <c r="DA36" s="259">
        <f t="shared" si="183"/>
        <v>0</v>
      </c>
      <c r="DB36" s="259">
        <f t="shared" si="184"/>
        <v>0</v>
      </c>
      <c r="DC36" s="259">
        <f t="shared" si="185"/>
        <v>0</v>
      </c>
      <c r="DD36" s="259">
        <f t="shared" si="186"/>
        <v>0</v>
      </c>
      <c r="DE36" s="259">
        <f t="shared" si="187"/>
        <v>0</v>
      </c>
      <c r="DF36" s="259">
        <f t="shared" si="188"/>
        <v>0</v>
      </c>
      <c r="DG36" s="259">
        <f t="shared" si="189"/>
        <v>0</v>
      </c>
      <c r="DH36" s="259">
        <f t="shared" si="190"/>
        <v>0</v>
      </c>
      <c r="DI36" s="259">
        <f t="shared" si="191"/>
        <v>0</v>
      </c>
      <c r="DJ36" s="259">
        <f t="shared" si="192"/>
        <v>0</v>
      </c>
      <c r="DK36" s="259">
        <f t="shared" si="193"/>
        <v>0</v>
      </c>
      <c r="DL36" s="259">
        <f t="shared" si="194"/>
        <v>0</v>
      </c>
      <c r="DM36" s="259">
        <f t="shared" si="195"/>
        <v>0</v>
      </c>
      <c r="DN36" s="259">
        <f t="shared" si="196"/>
        <v>0</v>
      </c>
      <c r="DO36" s="259">
        <f t="shared" si="197"/>
        <v>0</v>
      </c>
      <c r="DP36" s="259">
        <f t="shared" si="198"/>
        <v>0</v>
      </c>
      <c r="DQ36" s="259">
        <f t="shared" si="199"/>
        <v>0</v>
      </c>
      <c r="DR36" s="259">
        <f t="shared" si="200"/>
        <v>0</v>
      </c>
      <c r="DS36" s="259">
        <f t="shared" si="201"/>
        <v>0</v>
      </c>
      <c r="DT36" s="259">
        <f t="shared" si="202"/>
        <v>0</v>
      </c>
      <c r="DU36" s="259">
        <f t="shared" si="203"/>
        <v>0</v>
      </c>
      <c r="DV36" s="259">
        <f t="shared" si="204"/>
        <v>0</v>
      </c>
      <c r="DW36" s="259">
        <f t="shared" si="205"/>
        <v>0</v>
      </c>
      <c r="DX36" s="259">
        <f t="shared" si="206"/>
        <v>0</v>
      </c>
      <c r="DY36" s="259">
        <f t="shared" si="207"/>
        <v>0</v>
      </c>
      <c r="DZ36" s="259">
        <f t="shared" si="208"/>
        <v>0</v>
      </c>
      <c r="EA36" s="259">
        <f t="shared" si="209"/>
        <v>0</v>
      </c>
      <c r="EB36" s="259">
        <f t="shared" si="210"/>
        <v>0</v>
      </c>
      <c r="EC36" s="263">
        <f t="shared" si="211"/>
        <v>0</v>
      </c>
      <c r="ED36" s="259">
        <f t="shared" si="212"/>
        <v>0</v>
      </c>
      <c r="EE36" s="259">
        <f t="shared" si="213"/>
        <v>0</v>
      </c>
      <c r="EF36" s="259">
        <f t="shared" si="214"/>
        <v>0</v>
      </c>
      <c r="EG36" s="259">
        <f t="shared" si="215"/>
        <v>0</v>
      </c>
      <c r="EH36" s="259">
        <f t="shared" si="216"/>
        <v>0</v>
      </c>
      <c r="EI36" s="259">
        <f t="shared" si="217"/>
        <v>0</v>
      </c>
      <c r="EJ36" s="259">
        <f t="shared" si="114"/>
        <v>0</v>
      </c>
      <c r="EK36" s="259">
        <f t="shared" si="218"/>
        <v>0</v>
      </c>
      <c r="EL36" s="259">
        <f t="shared" si="219"/>
        <v>0</v>
      </c>
      <c r="EM36" s="259">
        <f t="shared" si="220"/>
        <v>0</v>
      </c>
      <c r="EN36" s="259">
        <f t="shared" si="221"/>
        <v>0</v>
      </c>
      <c r="EO36" s="259">
        <f t="shared" si="222"/>
        <v>0</v>
      </c>
      <c r="EP36" s="259"/>
      <c r="EQ36" s="259">
        <f t="shared" si="223"/>
        <v>0</v>
      </c>
      <c r="ER36" s="259">
        <f t="shared" si="224"/>
        <v>0</v>
      </c>
      <c r="ES36" s="259">
        <f t="shared" si="225"/>
        <v>0</v>
      </c>
      <c r="ET36" s="259">
        <f t="shared" si="226"/>
        <v>0</v>
      </c>
      <c r="EU36" s="259">
        <f t="shared" si="227"/>
        <v>0</v>
      </c>
      <c r="EV36" s="259">
        <f t="shared" si="228"/>
        <v>0</v>
      </c>
      <c r="EW36" s="259">
        <f t="shared" si="229"/>
        <v>0</v>
      </c>
      <c r="EX36" s="259">
        <f t="shared" si="230"/>
        <v>0</v>
      </c>
      <c r="EY36" s="259">
        <f t="shared" si="231"/>
        <v>0</v>
      </c>
      <c r="EZ36" s="259">
        <f t="shared" si="232"/>
        <v>0</v>
      </c>
      <c r="FA36" s="259"/>
      <c r="FB36" s="259"/>
      <c r="FC36" s="259"/>
      <c r="FD36" s="259"/>
      <c r="FE36" s="259"/>
      <c r="FF36" s="259">
        <f t="shared" si="233"/>
        <v>0</v>
      </c>
      <c r="FG36" s="259">
        <f t="shared" si="234"/>
        <v>0</v>
      </c>
      <c r="FH36" s="259">
        <f t="shared" si="235"/>
        <v>0</v>
      </c>
      <c r="FI36" s="259">
        <f t="shared" si="236"/>
        <v>0</v>
      </c>
      <c r="FL36" s="159" t="s">
        <v>194</v>
      </c>
      <c r="FM36" s="160" t="s">
        <v>195</v>
      </c>
    </row>
    <row r="37" spans="1:169" ht="15.75" thickBot="1" x14ac:dyDescent="0.3">
      <c r="A37" s="304">
        <v>35</v>
      </c>
      <c r="B37" s="299" t="s">
        <v>6</v>
      </c>
      <c r="C37" s="300" t="s">
        <v>3</v>
      </c>
      <c r="D37" s="299"/>
      <c r="E37" s="301"/>
      <c r="F37" s="301"/>
      <c r="G37" s="301"/>
      <c r="H37" s="299"/>
      <c r="I37" s="299"/>
      <c r="J37" s="299"/>
      <c r="K37" s="301"/>
      <c r="L37" s="302"/>
      <c r="M37" s="301" t="s">
        <v>150</v>
      </c>
      <c r="N37" s="303"/>
      <c r="O37" s="302">
        <v>42984</v>
      </c>
      <c r="P37" s="259"/>
      <c r="R37" s="81" t="s">
        <v>52</v>
      </c>
      <c r="S37" s="82"/>
      <c r="U37" s="81" t="s">
        <v>204</v>
      </c>
      <c r="V37" s="82"/>
      <c r="Y37" s="97"/>
      <c r="Z37" s="135">
        <f>SUM(AI39:AK39,AM39:AN39,AP39:AU39,AW39:BC39)</f>
        <v>0</v>
      </c>
      <c r="AA37" s="135">
        <f>SUM(BI39:CD39,CF39:CO39,CQ39)</f>
        <v>0</v>
      </c>
      <c r="AB37" s="135">
        <f t="shared" si="78"/>
        <v>0</v>
      </c>
      <c r="AC37" s="135">
        <f>SUM(EQ39:EX39,EZ39)</f>
        <v>0</v>
      </c>
      <c r="AD37" s="135">
        <f>SUM(FF39:FH39)</f>
        <v>0</v>
      </c>
      <c r="AF37" s="159" t="s">
        <v>197</v>
      </c>
      <c r="AG37" s="160" t="s">
        <v>198</v>
      </c>
      <c r="AH37" s="114">
        <f>SUM(AI37:AK37,AM37:AN37,AP37:AU37,AW37:BC37,BI37:CD37,CF37:CO37,CQ37,CW37:CZ37,DB37:DD37,DF37:EH37,EK37,EL37:EN37,EQ37:EX37,EZ37,FF37:FH37)</f>
        <v>0</v>
      </c>
      <c r="AI37" s="259">
        <f t="shared" si="122"/>
        <v>0</v>
      </c>
      <c r="AJ37" s="259">
        <f t="shared" si="123"/>
        <v>0</v>
      </c>
      <c r="AK37" s="259">
        <f t="shared" si="124"/>
        <v>0</v>
      </c>
      <c r="AL37" s="136">
        <f t="shared" si="125"/>
        <v>0</v>
      </c>
      <c r="AM37" s="259">
        <f t="shared" si="126"/>
        <v>0</v>
      </c>
      <c r="AN37" s="259">
        <f t="shared" si="127"/>
        <v>0</v>
      </c>
      <c r="AO37" s="259">
        <f t="shared" si="128"/>
        <v>0</v>
      </c>
      <c r="AP37" s="259">
        <f t="shared" si="129"/>
        <v>0</v>
      </c>
      <c r="AQ37" s="259">
        <f t="shared" si="130"/>
        <v>0</v>
      </c>
      <c r="AR37" s="259">
        <f t="shared" si="131"/>
        <v>0</v>
      </c>
      <c r="AS37" s="259">
        <f t="shared" si="132"/>
        <v>0</v>
      </c>
      <c r="AT37" s="259">
        <f t="shared" si="133"/>
        <v>0</v>
      </c>
      <c r="AU37" s="259">
        <f t="shared" si="134"/>
        <v>0</v>
      </c>
      <c r="AV37" s="259">
        <f t="shared" si="135"/>
        <v>0</v>
      </c>
      <c r="AW37" s="259">
        <f t="shared" si="136"/>
        <v>0</v>
      </c>
      <c r="AX37" s="259">
        <f t="shared" si="137"/>
        <v>0</v>
      </c>
      <c r="AY37" s="259">
        <f t="shared" si="138"/>
        <v>0</v>
      </c>
      <c r="AZ37" s="259">
        <f t="shared" si="139"/>
        <v>0</v>
      </c>
      <c r="BA37" s="259">
        <f t="shared" si="140"/>
        <v>0</v>
      </c>
      <c r="BB37" s="259">
        <f t="shared" si="141"/>
        <v>0</v>
      </c>
      <c r="BC37" s="263">
        <f t="shared" si="142"/>
        <v>0</v>
      </c>
      <c r="BD37" s="259">
        <f t="shared" si="143"/>
        <v>0</v>
      </c>
      <c r="BE37" s="259"/>
      <c r="BF37" s="259"/>
      <c r="BG37" s="259"/>
      <c r="BH37" s="259"/>
      <c r="BI37" s="259">
        <f t="shared" si="144"/>
        <v>0</v>
      </c>
      <c r="BJ37" s="259">
        <f t="shared" si="145"/>
        <v>0</v>
      </c>
      <c r="BK37" s="259">
        <f t="shared" si="146"/>
        <v>0</v>
      </c>
      <c r="BL37" s="259">
        <f t="shared" si="147"/>
        <v>0</v>
      </c>
      <c r="BM37" s="259">
        <f t="shared" si="148"/>
        <v>0</v>
      </c>
      <c r="BN37" s="259">
        <f t="shared" si="149"/>
        <v>0</v>
      </c>
      <c r="BO37" s="259">
        <f t="shared" si="150"/>
        <v>0</v>
      </c>
      <c r="BP37" s="259">
        <f t="shared" si="151"/>
        <v>0</v>
      </c>
      <c r="BQ37" s="259">
        <f t="shared" si="152"/>
        <v>0</v>
      </c>
      <c r="BR37" s="259">
        <f t="shared" si="153"/>
        <v>0</v>
      </c>
      <c r="BS37" s="259">
        <f t="shared" si="154"/>
        <v>0</v>
      </c>
      <c r="BT37" s="259">
        <f t="shared" si="155"/>
        <v>0</v>
      </c>
      <c r="BU37" s="259">
        <f t="shared" si="156"/>
        <v>0</v>
      </c>
      <c r="BV37" s="259">
        <f t="shared" si="157"/>
        <v>0</v>
      </c>
      <c r="BW37" s="259">
        <f t="shared" si="158"/>
        <v>0</v>
      </c>
      <c r="BX37" s="259">
        <f t="shared" si="159"/>
        <v>0</v>
      </c>
      <c r="BY37" s="259">
        <f t="shared" si="160"/>
        <v>0</v>
      </c>
      <c r="BZ37" s="259">
        <f t="shared" si="161"/>
        <v>0</v>
      </c>
      <c r="CA37" s="259">
        <f t="shared" si="162"/>
        <v>0</v>
      </c>
      <c r="CB37" s="259">
        <f t="shared" si="163"/>
        <v>0</v>
      </c>
      <c r="CC37" s="259">
        <f t="shared" si="164"/>
        <v>0</v>
      </c>
      <c r="CD37" s="259">
        <f t="shared" si="165"/>
        <v>0</v>
      </c>
      <c r="CE37" s="259">
        <f t="shared" si="166"/>
        <v>0</v>
      </c>
      <c r="CF37" s="259">
        <f t="shared" si="167"/>
        <v>0</v>
      </c>
      <c r="CG37" s="259">
        <f t="shared" si="168"/>
        <v>0</v>
      </c>
      <c r="CH37" s="259">
        <f t="shared" si="169"/>
        <v>0</v>
      </c>
      <c r="CI37" s="259">
        <f t="shared" si="170"/>
        <v>0</v>
      </c>
      <c r="CJ37" s="259">
        <f t="shared" si="171"/>
        <v>0</v>
      </c>
      <c r="CK37" s="259">
        <f t="shared" si="172"/>
        <v>0</v>
      </c>
      <c r="CL37" s="259">
        <f t="shared" si="173"/>
        <v>0</v>
      </c>
      <c r="CM37" s="259">
        <f t="shared" si="174"/>
        <v>0</v>
      </c>
      <c r="CN37" s="259">
        <f t="shared" si="175"/>
        <v>0</v>
      </c>
      <c r="CO37" s="259">
        <f t="shared" si="176"/>
        <v>0</v>
      </c>
      <c r="CP37" s="259">
        <f t="shared" si="177"/>
        <v>0</v>
      </c>
      <c r="CQ37" s="259">
        <f t="shared" si="178"/>
        <v>0</v>
      </c>
      <c r="CR37" s="259"/>
      <c r="CS37" s="259"/>
      <c r="CT37" s="259"/>
      <c r="CU37" s="259"/>
      <c r="CV37" s="259"/>
      <c r="CW37" s="259">
        <f t="shared" si="179"/>
        <v>0</v>
      </c>
      <c r="CX37" s="259">
        <f t="shared" si="180"/>
        <v>0</v>
      </c>
      <c r="CY37" s="259">
        <f t="shared" si="181"/>
        <v>0</v>
      </c>
      <c r="CZ37" s="259">
        <f t="shared" si="182"/>
        <v>0</v>
      </c>
      <c r="DA37" s="259">
        <f t="shared" si="183"/>
        <v>0</v>
      </c>
      <c r="DB37" s="259">
        <f t="shared" si="184"/>
        <v>0</v>
      </c>
      <c r="DC37" s="259">
        <f t="shared" si="185"/>
        <v>0</v>
      </c>
      <c r="DD37" s="259">
        <f t="shared" si="186"/>
        <v>0</v>
      </c>
      <c r="DE37" s="259">
        <f t="shared" si="187"/>
        <v>0</v>
      </c>
      <c r="DF37" s="259">
        <f t="shared" si="188"/>
        <v>0</v>
      </c>
      <c r="DG37" s="259">
        <f t="shared" si="189"/>
        <v>0</v>
      </c>
      <c r="DH37" s="259">
        <f t="shared" si="190"/>
        <v>0</v>
      </c>
      <c r="DI37" s="259">
        <f t="shared" si="191"/>
        <v>0</v>
      </c>
      <c r="DJ37" s="259">
        <f t="shared" si="192"/>
        <v>0</v>
      </c>
      <c r="DK37" s="259">
        <f t="shared" si="193"/>
        <v>0</v>
      </c>
      <c r="DL37" s="259">
        <f t="shared" si="194"/>
        <v>0</v>
      </c>
      <c r="DM37" s="259">
        <f t="shared" si="195"/>
        <v>0</v>
      </c>
      <c r="DN37" s="259">
        <f t="shared" si="196"/>
        <v>0</v>
      </c>
      <c r="DO37" s="259">
        <f t="shared" si="197"/>
        <v>0</v>
      </c>
      <c r="DP37" s="259">
        <f t="shared" si="198"/>
        <v>0</v>
      </c>
      <c r="DQ37" s="259">
        <f t="shared" si="199"/>
        <v>0</v>
      </c>
      <c r="DR37" s="259">
        <f t="shared" si="200"/>
        <v>0</v>
      </c>
      <c r="DS37" s="259">
        <f t="shared" si="201"/>
        <v>0</v>
      </c>
      <c r="DT37" s="259">
        <f t="shared" si="202"/>
        <v>0</v>
      </c>
      <c r="DU37" s="259">
        <f t="shared" si="203"/>
        <v>0</v>
      </c>
      <c r="DV37" s="259">
        <f t="shared" si="204"/>
        <v>0</v>
      </c>
      <c r="DW37" s="259">
        <f t="shared" si="205"/>
        <v>0</v>
      </c>
      <c r="DX37" s="259">
        <f t="shared" si="206"/>
        <v>0</v>
      </c>
      <c r="DY37" s="259">
        <f t="shared" si="207"/>
        <v>0</v>
      </c>
      <c r="DZ37" s="259">
        <f t="shared" si="208"/>
        <v>0</v>
      </c>
      <c r="EA37" s="259">
        <f t="shared" si="209"/>
        <v>0</v>
      </c>
      <c r="EB37" s="259">
        <f t="shared" si="210"/>
        <v>0</v>
      </c>
      <c r="EC37" s="263">
        <f t="shared" si="211"/>
        <v>0</v>
      </c>
      <c r="ED37" s="259">
        <f t="shared" si="212"/>
        <v>0</v>
      </c>
      <c r="EE37" s="259">
        <f t="shared" si="213"/>
        <v>0</v>
      </c>
      <c r="EF37" s="259">
        <f t="shared" si="214"/>
        <v>0</v>
      </c>
      <c r="EG37" s="259">
        <f t="shared" si="215"/>
        <v>0</v>
      </c>
      <c r="EH37" s="259">
        <f t="shared" si="216"/>
        <v>0</v>
      </c>
      <c r="EI37" s="259">
        <f t="shared" si="217"/>
        <v>0</v>
      </c>
      <c r="EJ37" s="259">
        <f t="shared" si="114"/>
        <v>0</v>
      </c>
      <c r="EK37" s="259">
        <f t="shared" si="218"/>
        <v>0</v>
      </c>
      <c r="EL37" s="259">
        <f t="shared" si="219"/>
        <v>0</v>
      </c>
      <c r="EM37" s="259">
        <f t="shared" si="220"/>
        <v>0</v>
      </c>
      <c r="EN37" s="259">
        <f t="shared" si="221"/>
        <v>0</v>
      </c>
      <c r="EO37" s="259">
        <f t="shared" si="222"/>
        <v>0</v>
      </c>
      <c r="EP37" s="259"/>
      <c r="EQ37" s="259">
        <f t="shared" si="223"/>
        <v>0</v>
      </c>
      <c r="ER37" s="259">
        <f t="shared" si="224"/>
        <v>0</v>
      </c>
      <c r="ES37" s="259">
        <f t="shared" si="225"/>
        <v>0</v>
      </c>
      <c r="ET37" s="259">
        <f t="shared" si="226"/>
        <v>0</v>
      </c>
      <c r="EU37" s="259">
        <f t="shared" si="227"/>
        <v>0</v>
      </c>
      <c r="EV37" s="259">
        <f t="shared" si="228"/>
        <v>0</v>
      </c>
      <c r="EW37" s="259">
        <f t="shared" si="229"/>
        <v>0</v>
      </c>
      <c r="EX37" s="259">
        <f t="shared" si="230"/>
        <v>0</v>
      </c>
      <c r="EY37" s="259">
        <f t="shared" si="231"/>
        <v>0</v>
      </c>
      <c r="EZ37" s="259">
        <f t="shared" si="232"/>
        <v>0</v>
      </c>
      <c r="FA37" s="259"/>
      <c r="FB37" s="259"/>
      <c r="FC37" s="259"/>
      <c r="FD37" s="259"/>
      <c r="FE37" s="259"/>
      <c r="FF37" s="259">
        <f t="shared" si="233"/>
        <v>0</v>
      </c>
      <c r="FG37" s="259">
        <f t="shared" si="234"/>
        <v>0</v>
      </c>
      <c r="FH37" s="259">
        <f t="shared" si="235"/>
        <v>0</v>
      </c>
      <c r="FI37" s="259">
        <f t="shared" si="236"/>
        <v>0</v>
      </c>
      <c r="FL37" s="159" t="s">
        <v>197</v>
      </c>
      <c r="FM37" s="160" t="s">
        <v>198</v>
      </c>
    </row>
    <row r="38" spans="1:169" ht="15.75" thickBot="1" x14ac:dyDescent="0.3">
      <c r="A38" s="304">
        <v>36</v>
      </c>
      <c r="B38" s="299" t="s">
        <v>6</v>
      </c>
      <c r="C38" s="300" t="s">
        <v>3</v>
      </c>
      <c r="D38" s="299"/>
      <c r="E38" s="301"/>
      <c r="F38" s="301"/>
      <c r="G38" s="301"/>
      <c r="H38" s="299"/>
      <c r="I38" s="299"/>
      <c r="J38" s="299"/>
      <c r="K38" s="301"/>
      <c r="L38" s="302"/>
      <c r="M38" s="301" t="s">
        <v>150</v>
      </c>
      <c r="N38" s="303"/>
      <c r="O38" s="302">
        <v>42984</v>
      </c>
      <c r="P38" s="259"/>
      <c r="Q38" s="191">
        <f>SUM(Y207,Y215,Y216)</f>
        <v>18</v>
      </c>
      <c r="R38" s="106" t="s">
        <v>4</v>
      </c>
      <c r="S38" s="82" t="s">
        <v>265</v>
      </c>
      <c r="U38" s="106" t="s">
        <v>3</v>
      </c>
      <c r="V38" s="99"/>
      <c r="X38" s="74" t="s">
        <v>5</v>
      </c>
      <c r="Y38" s="97"/>
      <c r="Z38" s="135">
        <f>SUM(AI40:AK40,AM40:AN40,AP40:AU40,AW40:BC40)</f>
        <v>0</v>
      </c>
      <c r="AA38" s="135">
        <f>SUM(BI40:CD40,CF40:CO40,CQ40)</f>
        <v>0</v>
      </c>
      <c r="AB38" s="135">
        <f t="shared" si="78"/>
        <v>0</v>
      </c>
      <c r="AC38" s="135">
        <f>SUM(EQ40:EX40,EZ40)</f>
        <v>0</v>
      </c>
      <c r="AD38" s="135">
        <f>SUM(FF40:FH40)</f>
        <v>0</v>
      </c>
      <c r="AF38" s="159" t="s">
        <v>38</v>
      </c>
      <c r="AG38" s="160" t="s">
        <v>199</v>
      </c>
      <c r="AH38" s="114">
        <f>SUM(AI38:AK38,AM38:AN38,AP38:AU38,AW38:BC38,BI38:CD38,CF38:CO38,CQ38,CW38:CZ38,DB38:DD38,DF38:EH38,EK38,EL38:EN38,EQ38:EX38,EZ38,FF38:FH38)</f>
        <v>0</v>
      </c>
      <c r="AI38" s="259">
        <f t="shared" si="122"/>
        <v>0</v>
      </c>
      <c r="AJ38" s="259">
        <f t="shared" si="123"/>
        <v>0</v>
      </c>
      <c r="AK38" s="259">
        <f t="shared" si="124"/>
        <v>0</v>
      </c>
      <c r="AL38" s="136">
        <f t="shared" si="125"/>
        <v>0</v>
      </c>
      <c r="AM38" s="259">
        <f t="shared" si="126"/>
        <v>0</v>
      </c>
      <c r="AN38" s="259">
        <f t="shared" si="127"/>
        <v>0</v>
      </c>
      <c r="AO38" s="259">
        <f t="shared" si="128"/>
        <v>0</v>
      </c>
      <c r="AP38" s="259">
        <f t="shared" si="129"/>
        <v>0</v>
      </c>
      <c r="AQ38" s="259">
        <f t="shared" si="130"/>
        <v>0</v>
      </c>
      <c r="AR38" s="259">
        <f t="shared" si="131"/>
        <v>0</v>
      </c>
      <c r="AS38" s="259">
        <f t="shared" si="132"/>
        <v>0</v>
      </c>
      <c r="AT38" s="259">
        <f t="shared" si="133"/>
        <v>0</v>
      </c>
      <c r="AU38" s="259">
        <f t="shared" si="134"/>
        <v>0</v>
      </c>
      <c r="AV38" s="259">
        <f t="shared" si="135"/>
        <v>0</v>
      </c>
      <c r="AW38" s="259">
        <f t="shared" si="136"/>
        <v>0</v>
      </c>
      <c r="AX38" s="259">
        <f t="shared" si="137"/>
        <v>0</v>
      </c>
      <c r="AY38" s="259">
        <f t="shared" si="138"/>
        <v>0</v>
      </c>
      <c r="AZ38" s="259">
        <f t="shared" si="139"/>
        <v>0</v>
      </c>
      <c r="BA38" s="259">
        <f t="shared" si="140"/>
        <v>0</v>
      </c>
      <c r="BB38" s="259">
        <f t="shared" si="141"/>
        <v>0</v>
      </c>
      <c r="BC38" s="263">
        <f t="shared" si="142"/>
        <v>0</v>
      </c>
      <c r="BD38" s="259">
        <f t="shared" si="143"/>
        <v>0</v>
      </c>
      <c r="BE38" s="259"/>
      <c r="BF38" s="259"/>
      <c r="BG38" s="259"/>
      <c r="BH38" s="259"/>
      <c r="BI38" s="259">
        <f t="shared" si="144"/>
        <v>0</v>
      </c>
      <c r="BJ38" s="259">
        <f t="shared" si="145"/>
        <v>0</v>
      </c>
      <c r="BK38" s="259">
        <f t="shared" si="146"/>
        <v>0</v>
      </c>
      <c r="BL38" s="259">
        <f t="shared" si="147"/>
        <v>0</v>
      </c>
      <c r="BM38" s="259">
        <f t="shared" si="148"/>
        <v>0</v>
      </c>
      <c r="BN38" s="259">
        <f t="shared" si="149"/>
        <v>0</v>
      </c>
      <c r="BO38" s="259">
        <f t="shared" si="150"/>
        <v>0</v>
      </c>
      <c r="BP38" s="259">
        <f t="shared" si="151"/>
        <v>0</v>
      </c>
      <c r="BQ38" s="259">
        <f t="shared" si="152"/>
        <v>0</v>
      </c>
      <c r="BR38" s="259">
        <f t="shared" si="153"/>
        <v>0</v>
      </c>
      <c r="BS38" s="259">
        <f t="shared" si="154"/>
        <v>0</v>
      </c>
      <c r="BT38" s="259">
        <f t="shared" si="155"/>
        <v>0</v>
      </c>
      <c r="BU38" s="259">
        <f t="shared" si="156"/>
        <v>0</v>
      </c>
      <c r="BV38" s="259">
        <f t="shared" si="157"/>
        <v>0</v>
      </c>
      <c r="BW38" s="259">
        <f t="shared" si="158"/>
        <v>0</v>
      </c>
      <c r="BX38" s="259">
        <f t="shared" si="159"/>
        <v>0</v>
      </c>
      <c r="BY38" s="259">
        <f t="shared" si="160"/>
        <v>0</v>
      </c>
      <c r="BZ38" s="259">
        <f t="shared" si="161"/>
        <v>0</v>
      </c>
      <c r="CA38" s="259">
        <f t="shared" si="162"/>
        <v>0</v>
      </c>
      <c r="CB38" s="259">
        <f t="shared" si="163"/>
        <v>0</v>
      </c>
      <c r="CC38" s="259">
        <f t="shared" si="164"/>
        <v>0</v>
      </c>
      <c r="CD38" s="259">
        <f t="shared" si="165"/>
        <v>0</v>
      </c>
      <c r="CE38" s="259">
        <f t="shared" si="166"/>
        <v>0</v>
      </c>
      <c r="CF38" s="259">
        <f t="shared" si="167"/>
        <v>0</v>
      </c>
      <c r="CG38" s="259">
        <f t="shared" si="168"/>
        <v>0</v>
      </c>
      <c r="CH38" s="259">
        <f t="shared" si="169"/>
        <v>0</v>
      </c>
      <c r="CI38" s="259">
        <f t="shared" si="170"/>
        <v>0</v>
      </c>
      <c r="CJ38" s="259">
        <f t="shared" si="171"/>
        <v>0</v>
      </c>
      <c r="CK38" s="259">
        <f t="shared" si="172"/>
        <v>0</v>
      </c>
      <c r="CL38" s="259">
        <f t="shared" si="173"/>
        <v>0</v>
      </c>
      <c r="CM38" s="259">
        <f t="shared" si="174"/>
        <v>0</v>
      </c>
      <c r="CN38" s="259">
        <f t="shared" si="175"/>
        <v>0</v>
      </c>
      <c r="CO38" s="259">
        <f t="shared" si="176"/>
        <v>0</v>
      </c>
      <c r="CP38" s="259">
        <f t="shared" si="177"/>
        <v>0</v>
      </c>
      <c r="CQ38" s="259">
        <f t="shared" si="178"/>
        <v>0</v>
      </c>
      <c r="CR38" s="259"/>
      <c r="CS38" s="259"/>
      <c r="CT38" s="259"/>
      <c r="CU38" s="259"/>
      <c r="CV38" s="259"/>
      <c r="CW38" s="259">
        <f t="shared" si="179"/>
        <v>0</v>
      </c>
      <c r="CX38" s="259">
        <f t="shared" si="180"/>
        <v>0</v>
      </c>
      <c r="CY38" s="259">
        <f t="shared" si="181"/>
        <v>0</v>
      </c>
      <c r="CZ38" s="259">
        <f t="shared" si="182"/>
        <v>0</v>
      </c>
      <c r="DA38" s="259">
        <f t="shared" si="183"/>
        <v>0</v>
      </c>
      <c r="DB38" s="259">
        <f t="shared" si="184"/>
        <v>0</v>
      </c>
      <c r="DC38" s="259">
        <f t="shared" si="185"/>
        <v>0</v>
      </c>
      <c r="DD38" s="259">
        <f t="shared" si="186"/>
        <v>0</v>
      </c>
      <c r="DE38" s="259">
        <f t="shared" si="187"/>
        <v>0</v>
      </c>
      <c r="DF38" s="259">
        <f t="shared" si="188"/>
        <v>0</v>
      </c>
      <c r="DG38" s="259">
        <f t="shared" si="189"/>
        <v>0</v>
      </c>
      <c r="DH38" s="259">
        <f t="shared" si="190"/>
        <v>0</v>
      </c>
      <c r="DI38" s="259">
        <f t="shared" si="191"/>
        <v>0</v>
      </c>
      <c r="DJ38" s="259">
        <f t="shared" si="192"/>
        <v>0</v>
      </c>
      <c r="DK38" s="259">
        <f t="shared" si="193"/>
        <v>0</v>
      </c>
      <c r="DL38" s="259">
        <f t="shared" si="194"/>
        <v>0</v>
      </c>
      <c r="DM38" s="259">
        <f t="shared" si="195"/>
        <v>0</v>
      </c>
      <c r="DN38" s="259">
        <f t="shared" si="196"/>
        <v>0</v>
      </c>
      <c r="DO38" s="259">
        <f t="shared" si="197"/>
        <v>0</v>
      </c>
      <c r="DP38" s="259">
        <f t="shared" si="198"/>
        <v>0</v>
      </c>
      <c r="DQ38" s="259">
        <f t="shared" si="199"/>
        <v>0</v>
      </c>
      <c r="DR38" s="259">
        <f t="shared" si="200"/>
        <v>0</v>
      </c>
      <c r="DS38" s="259">
        <f t="shared" si="201"/>
        <v>0</v>
      </c>
      <c r="DT38" s="259">
        <f t="shared" si="202"/>
        <v>0</v>
      </c>
      <c r="DU38" s="259">
        <f t="shared" si="203"/>
        <v>0</v>
      </c>
      <c r="DV38" s="259">
        <f t="shared" si="204"/>
        <v>0</v>
      </c>
      <c r="DW38" s="259">
        <f t="shared" si="205"/>
        <v>0</v>
      </c>
      <c r="DX38" s="259">
        <f t="shared" si="206"/>
        <v>0</v>
      </c>
      <c r="DY38" s="259">
        <f t="shared" si="207"/>
        <v>0</v>
      </c>
      <c r="DZ38" s="259">
        <f t="shared" si="208"/>
        <v>0</v>
      </c>
      <c r="EA38" s="259">
        <f t="shared" si="209"/>
        <v>0</v>
      </c>
      <c r="EB38" s="259">
        <f t="shared" si="210"/>
        <v>0</v>
      </c>
      <c r="EC38" s="263">
        <f t="shared" si="211"/>
        <v>0</v>
      </c>
      <c r="ED38" s="259">
        <f t="shared" si="212"/>
        <v>0</v>
      </c>
      <c r="EE38" s="259">
        <f t="shared" si="213"/>
        <v>0</v>
      </c>
      <c r="EF38" s="259">
        <f t="shared" si="214"/>
        <v>0</v>
      </c>
      <c r="EG38" s="259">
        <f t="shared" si="215"/>
        <v>0</v>
      </c>
      <c r="EH38" s="259">
        <f t="shared" si="216"/>
        <v>0</v>
      </c>
      <c r="EI38" s="259">
        <f t="shared" si="217"/>
        <v>0</v>
      </c>
      <c r="EJ38" s="259">
        <f t="shared" si="114"/>
        <v>0</v>
      </c>
      <c r="EK38" s="259">
        <f t="shared" si="218"/>
        <v>0</v>
      </c>
      <c r="EL38" s="259">
        <f t="shared" si="219"/>
        <v>0</v>
      </c>
      <c r="EM38" s="259">
        <f t="shared" si="220"/>
        <v>0</v>
      </c>
      <c r="EN38" s="259">
        <f t="shared" si="221"/>
        <v>0</v>
      </c>
      <c r="EO38" s="259">
        <f t="shared" si="222"/>
        <v>0</v>
      </c>
      <c r="EP38" s="259"/>
      <c r="EQ38" s="259">
        <f t="shared" si="223"/>
        <v>0</v>
      </c>
      <c r="ER38" s="259">
        <f t="shared" si="224"/>
        <v>0</v>
      </c>
      <c r="ES38" s="259">
        <f t="shared" si="225"/>
        <v>0</v>
      </c>
      <c r="ET38" s="259">
        <f t="shared" si="226"/>
        <v>0</v>
      </c>
      <c r="EU38" s="259">
        <f t="shared" si="227"/>
        <v>0</v>
      </c>
      <c r="EV38" s="259">
        <f t="shared" si="228"/>
        <v>0</v>
      </c>
      <c r="EW38" s="259">
        <f t="shared" si="229"/>
        <v>0</v>
      </c>
      <c r="EX38" s="259">
        <f t="shared" si="230"/>
        <v>0</v>
      </c>
      <c r="EY38" s="259">
        <f t="shared" si="231"/>
        <v>0</v>
      </c>
      <c r="EZ38" s="259">
        <f t="shared" si="232"/>
        <v>0</v>
      </c>
      <c r="FA38" s="259"/>
      <c r="FB38" s="259"/>
      <c r="FC38" s="259"/>
      <c r="FD38" s="259"/>
      <c r="FE38" s="259"/>
      <c r="FF38" s="259">
        <f t="shared" si="233"/>
        <v>0</v>
      </c>
      <c r="FG38" s="259">
        <f t="shared" si="234"/>
        <v>0</v>
      </c>
      <c r="FH38" s="259">
        <f t="shared" si="235"/>
        <v>0</v>
      </c>
      <c r="FI38" s="259">
        <f t="shared" si="236"/>
        <v>0</v>
      </c>
      <c r="FL38" s="159" t="s">
        <v>38</v>
      </c>
      <c r="FM38" s="160" t="s">
        <v>199</v>
      </c>
    </row>
    <row r="39" spans="1:169" ht="15.75" thickBot="1" x14ac:dyDescent="0.3">
      <c r="A39" s="304">
        <v>37</v>
      </c>
      <c r="B39" s="299" t="s">
        <v>6</v>
      </c>
      <c r="C39" s="300" t="s">
        <v>3</v>
      </c>
      <c r="D39" s="299"/>
      <c r="E39" s="301"/>
      <c r="F39" s="301"/>
      <c r="G39" s="301"/>
      <c r="H39" s="299"/>
      <c r="I39" s="299"/>
      <c r="J39" s="299"/>
      <c r="K39" s="301"/>
      <c r="L39" s="302"/>
      <c r="M39" s="301" t="s">
        <v>150</v>
      </c>
      <c r="N39" s="303"/>
      <c r="O39" s="302">
        <v>42992</v>
      </c>
      <c r="P39" s="259"/>
      <c r="R39" s="131"/>
      <c r="U39" s="106" t="s">
        <v>5</v>
      </c>
      <c r="V39" s="99"/>
      <c r="X39" s="83" t="s">
        <v>117</v>
      </c>
      <c r="Y39" s="97">
        <f>COUNTIFS($B:$B,"BELLEVUE",$C:$C,"USCRI")</f>
        <v>0</v>
      </c>
      <c r="Z39" s="135">
        <f>SUM(AI41:AK41,AM41:AN41,AP41:AU41,AW41:BC41)</f>
        <v>0</v>
      </c>
      <c r="AA39" s="135">
        <f>SUM(BI41:CD41,CF41:CO41,CQ41)</f>
        <v>0</v>
      </c>
      <c r="AB39" s="135">
        <f t="shared" si="78"/>
        <v>0</v>
      </c>
      <c r="AC39" s="135">
        <f>SUM(EQ41:EX41,EZ41)</f>
        <v>0</v>
      </c>
      <c r="AD39" s="135">
        <f>SUM(FF41:FH41)</f>
        <v>0</v>
      </c>
      <c r="AF39" s="159" t="s">
        <v>200</v>
      </c>
      <c r="AG39" s="160" t="s">
        <v>201</v>
      </c>
      <c r="AH39" s="114">
        <f>SUM(AI39:AK39,AM39:AN39,AP39:AU39,AW39:BC39,BI39:CD39,CF39:CO39,CQ39,CW39:CZ39,DB39:DD39,DF39:EH39,EK39,EL39:EN39,EQ39:EX39,EZ39,FF39:FH39)</f>
        <v>0</v>
      </c>
      <c r="AI39" s="191">
        <f t="shared" ref="AI39:AI45" si="237">COUNTIFS($B:$B,"Pittsburgh",$C:$C,"ECDC",$M:$M,AG39)</f>
        <v>0</v>
      </c>
      <c r="AJ39" s="191">
        <f t="shared" ref="AJ39:AJ45" si="238">COUNTIFS($B:$B,"LEETSDALE",$C:$C,"ECDC",$M:$M,AG39)</f>
        <v>0</v>
      </c>
      <c r="AK39" s="191">
        <f t="shared" ref="AK39:AK45" si="239">COUNTIFS($B:$B,"SEWICKLEY",$C:$C,"ECDC",$M:$M,AG39)</f>
        <v>0</v>
      </c>
      <c r="AL39" s="136">
        <f t="shared" ref="AL39:AL45" si="240">SUM(AI39:AK39)</f>
        <v>0</v>
      </c>
      <c r="AM39" s="191">
        <f t="shared" ref="AM39:AM45" si="241">COUNTIFS($B:$B,"Pittsburgh",$C:$C,"HIAS",$M:$M,AG39)</f>
        <v>0</v>
      </c>
      <c r="AN39" s="191">
        <f t="shared" ref="AN39:AN45" si="242">COUNTIFS($B:$B,"CASTLE SHANNON",$C:$C,"HIAS",$M:$M,AG39)</f>
        <v>0</v>
      </c>
      <c r="AO39" s="191">
        <f t="shared" ref="AO39:AO45" si="243">SUM(AM39:AN39)</f>
        <v>0</v>
      </c>
      <c r="AP39" s="191">
        <f t="shared" ref="AP39:AP45" si="244">COUNTIFS($B:$B,"CANONSBURG",$C:$C,"USCCB",$M:$M,AG39)</f>
        <v>0</v>
      </c>
      <c r="AQ39" s="191">
        <f t="shared" ref="AQ39:AQ45" si="245">COUNTIFS($B:$B,"HANOVER TOWNSHIP",$C:$C,"USCCB",$M:$M,AG39)</f>
        <v>0</v>
      </c>
      <c r="AR39" s="191">
        <f t="shared" ref="AR39:AR45" si="246">COUNTIFS($B:$B,"INDIANA",$C:$C,"USCCB",$M:$M,AG39)</f>
        <v>0</v>
      </c>
      <c r="AS39" s="259">
        <f t="shared" ref="AS39:AS45" si="247">COUNTIFS($B:$B,"DUBOIS",$C:$C,"USCCB",$M:$M,AG39)</f>
        <v>0</v>
      </c>
      <c r="AT39" s="191">
        <f t="shared" ref="AT39:AT45" si="248">COUNTIFS($B:$B,"Pittsburgh",$C:$C,"USCCB",$M:$M,AG39)</f>
        <v>0</v>
      </c>
      <c r="AU39" s="191">
        <f t="shared" ref="AU39:AU45" si="249">COUNTIFS($B:$B,"SHARPSBURG",$C:$C,"USCCB",$M:$M,AG39)</f>
        <v>0</v>
      </c>
      <c r="AV39" s="191">
        <f t="shared" ref="AV39:AV45" si="250">SUM(AP39:AU39)</f>
        <v>0</v>
      </c>
      <c r="AW39" s="191">
        <f t="shared" ref="AW39:AW45" si="251">COUNTIFS($B:$B,"BELLEVUE",$C:$C,"USCRI",$M:$M,AG39)</f>
        <v>0</v>
      </c>
      <c r="AX39" s="191">
        <f t="shared" ref="AX39:AX45" si="252">COUNTIFS($B:$B,"BRENTWOOD",$C:$C,"USCRI",$M:$M,AG39)</f>
        <v>0</v>
      </c>
      <c r="AY39" s="191">
        <f t="shared" ref="AY39:AY45" si="253">COUNTIFS($B:$B,"CLAIRTON",$C:$C,"USCRI",$M:$M,AG39)</f>
        <v>0</v>
      </c>
      <c r="AZ39" s="191">
        <f t="shared" ref="AZ39:AZ45" si="254">COUNTIFS($B:$B,"EAST MILLSBORO",$C:$C,"USCRI",$M:$M,AG39)</f>
        <v>0</v>
      </c>
      <c r="BA39" s="191">
        <f t="shared" ref="BA39:BA45" si="255">COUNTIFS($B:$B,"ETNA",$C:$C,"USCRI",$M:$M,AG39)</f>
        <v>0</v>
      </c>
      <c r="BB39" s="191">
        <f t="shared" ref="BB39:BB45" si="256">COUNTIFS($B:$B,"Pittsburgh",$C:$C,"USCRI",$M:$M,AG39)</f>
        <v>0</v>
      </c>
      <c r="BC39" s="263">
        <f t="shared" ref="BC39:BC45" si="257">COUNTIFS($B:$B,"CASTLE SHANNON",$C:$C,"USCRI",$M:$M,AG39)</f>
        <v>0</v>
      </c>
      <c r="BD39" s="259">
        <f t="shared" ref="BD39:BD45" si="258">SUM(AW39:BC39)</f>
        <v>0</v>
      </c>
      <c r="BI39" s="191">
        <f t="shared" ref="BI39:BI40" si="259">COUNTIFS($B:$B,"BOALSBURG",$C:$C,"USCCB",$M:$M,AG39)</f>
        <v>0</v>
      </c>
      <c r="BJ39" s="191">
        <f t="shared" ref="BJ39:BJ40" si="260">COUNTIFS($B:$B,"CAMP HILL",$C:$C,"USCCB",$M:$M,AG39)</f>
        <v>0</v>
      </c>
      <c r="BK39" s="191">
        <f t="shared" ref="BK39:BK40" si="261">COUNTIFS($B:$B,"CARLISLE",$C:$C,"USCCB",$M:$M,AG39)</f>
        <v>0</v>
      </c>
      <c r="BL39" s="191">
        <f t="shared" ref="BL39:BL40" si="262">COUNTIFS($B:$B,"CHAMBERSBURG",$C:$C,"USCCB",$M:$M,AG39)</f>
        <v>0</v>
      </c>
      <c r="BM39" s="191">
        <f t="shared" ref="BM39:BM40" si="263">COUNTIFS($B:$B,"ELIZABETHTOWN",$C:$C,"USCCB",$M:$M,AG39)</f>
        <v>0</v>
      </c>
      <c r="BN39" s="191">
        <f t="shared" ref="BN39:BN40" si="264">COUNTIFS($B:$B,"ENOLA",$C:$C,"USCCB",$M:$M,AG39)</f>
        <v>0</v>
      </c>
      <c r="BO39" s="259">
        <f t="shared" ref="BO39:BO44" si="265">COUNTIFS($B:$B,"ETTERS",$C:$C,"USCCB",$M:$M,AG39)</f>
        <v>0</v>
      </c>
      <c r="BP39" s="191">
        <f t="shared" ref="BP39:BP40" si="266">COUNTIFS($B:$B,"GETTYSBURG",$C:$C,"USCCB",$M:$M,AG39)</f>
        <v>0</v>
      </c>
      <c r="BQ39" s="191">
        <f t="shared" ref="BQ39:BQ40" si="267">COUNTIFS($B:$B,"GREENCASTLE",$C:$C,"USCCB",$M:$M,AG39)</f>
        <v>0</v>
      </c>
      <c r="BR39" s="259">
        <f t="shared" ref="BR39:BR45" si="268">COUNTIFS($B:$B,"HAMPDEN TOWNSHIP",$C:$C,"USCCB",$M:$M,AG39)</f>
        <v>0</v>
      </c>
      <c r="BS39" s="191">
        <f t="shared" ref="BS39:BS40" si="269">COUNTIFS($B:$B,"HARRISBURG",$C:$C,"USCCB",$M:$M,AG39)</f>
        <v>0</v>
      </c>
      <c r="BT39" s="191">
        <f t="shared" ref="BT39:BT40" si="270">COUNTIFS($B:$B,"HUMMELSTOWN",$C:$C,"USCCB",$M:$M,AG39)</f>
        <v>0</v>
      </c>
      <c r="BU39" s="191">
        <f t="shared" ref="BU39:BU40" si="271">COUNTIFS($B:$B,"LEBANON",$C:$C,"USCCB",$M:$M,AG39)</f>
        <v>0</v>
      </c>
      <c r="BV39" s="259">
        <f t="shared" ref="BV39:BV40" si="272">COUNTIFS($B:$B,"MCSHERRYSTOWN",$C:$C,"USCCB",$M:$M,AG39)</f>
        <v>0</v>
      </c>
      <c r="BW39" s="191">
        <f t="shared" ref="BW39:BW40" si="273">COUNTIFS($B:$B,"MECHANICSBURG",$C:$C,"USCCB",$M:$M,AG39)</f>
        <v>0</v>
      </c>
      <c r="BX39" s="191">
        <f t="shared" ref="BX39:BX40" si="274">COUNTIFS($B:$B,"MIDDLETOWN",$C:$C,"USCCB",$M:$M,AG39)</f>
        <v>0</v>
      </c>
      <c r="BY39" s="191">
        <f t="shared" ref="BY39:BY40" si="275">COUNTIFS($B:$B,"NEW CUMBERLAND",$C:$C,"USCCB",$M:$M,AG39)</f>
        <v>0</v>
      </c>
      <c r="BZ39" s="191">
        <f t="shared" ref="BZ39:BZ40" si="276">COUNTIFS($B:$B,"PALMYRA",$C:$C,"USCCB",$M:$M,AG39)</f>
        <v>0</v>
      </c>
      <c r="CA39" s="191">
        <f t="shared" ref="CA39:CA40" si="277">COUNTIFS($B:$B,"SHIREMANSTOWN",$C:$C,"USCCB",$M:$M,AG39)</f>
        <v>0</v>
      </c>
      <c r="CB39" s="191">
        <f t="shared" ref="CB39:CB40" si="278">COUNTIFS($B:$B,"STATE COLLEGE",$C:$C,"USCCB",$M:$M,AG39)</f>
        <v>0</v>
      </c>
      <c r="CC39" s="191">
        <f t="shared" ref="CC39:CC40" si="279">COUNTIFS($B:$B,"WINFIELD",$C:$C,"USCCB",$M:$M,AG39)</f>
        <v>0</v>
      </c>
      <c r="CD39" s="191">
        <f t="shared" ref="CD39:CD40" si="280">COUNTIFS($B:$B,"YORK",$C:$C,"USCCB",$M:$M,AG39)</f>
        <v>0</v>
      </c>
      <c r="CE39" s="191">
        <f t="shared" ref="CE39:CE45" si="281">SUM(BI39:CD39)</f>
        <v>0</v>
      </c>
      <c r="CF39" s="191">
        <f t="shared" ref="CF39:CF40" si="282">COUNTIFS($B:$B,"ELIZABETHTOWN",$C:$C,"CWS ",$M:$M,AG39)</f>
        <v>0</v>
      </c>
      <c r="CG39" s="191">
        <f t="shared" ref="CG39:CG40" si="283">COUNTIFS($B:$B,"GETTYSBURG",$C:$C,"CWS ",$M:$M,AG39)</f>
        <v>0</v>
      </c>
      <c r="CH39" s="191">
        <f t="shared" ref="CH39:CH40" si="284">COUNTIFS($B:$B,"HARRISBURG",$C:$C,"CWS ",$M:$M,AG39)</f>
        <v>0</v>
      </c>
      <c r="CI39" s="191">
        <f t="shared" ref="CI39:CI40" si="285">COUNTIFS($B:$B,"LANCASTER",$C:$C,"CWS ",$M:$M,AG39)</f>
        <v>0</v>
      </c>
      <c r="CJ39" s="191">
        <f t="shared" ref="CJ39:CJ40" si="286">COUNTIFS($B:$B,"LEOLA",$C:$C,"CWS ",$M:$M,AG39)</f>
        <v>0</v>
      </c>
      <c r="CK39" s="191">
        <f t="shared" ref="CK39:CK40" si="287">COUNTIFS($B:$B,"LITITZ",$C:$C,"CWS ",$M:$M,AG39)</f>
        <v>0</v>
      </c>
      <c r="CL39" s="191">
        <f t="shared" ref="CL39:CL40" si="288">COUNTIFS($B:$B,"MECHANICSBURG",$C:$C,"CWS ",$M:$M,AG39)</f>
        <v>0</v>
      </c>
      <c r="CM39" s="191">
        <f t="shared" ref="CM39:CM40" si="289">COUNTIFS($B:$B,"MOUNT JOY",$C:$C,"CWS ",$M:$M,AG39)</f>
        <v>0</v>
      </c>
      <c r="CN39" s="191">
        <f t="shared" ref="CN39:CN40" si="290">COUNTIFS($B:$B,"YORK",$C:$C,"CWS ",$M:$M,AG39)</f>
        <v>0</v>
      </c>
      <c r="CO39" s="191">
        <f t="shared" ref="CO39:CO40" si="291">COUNTIFS($B:$B,"EPHRATA",$C:$C,"CWS ",$M:$M,AG39)</f>
        <v>0</v>
      </c>
      <c r="CP39" s="191">
        <f t="shared" ref="CP39:CP45" si="292">SUM(CF39,CG39,CH39,CJ39,CK39,CL39,CM39,CN39,CO39)</f>
        <v>0</v>
      </c>
      <c r="CQ39" s="191">
        <f t="shared" ref="CQ39:CQ40" si="293">COUNTIFS($B:$B,"LANCASTER",$C:$C,"LIRS",$M:$M,AG39)</f>
        <v>0</v>
      </c>
      <c r="CW39" s="191">
        <f t="shared" ref="CW39:CW40" si="294">COUNTIFS($B:$B,"PHILADELPHIA",$C:$C,"HIAS",$M:$M,AG39)</f>
        <v>0</v>
      </c>
      <c r="CX39" s="191">
        <f t="shared" ref="CX39:CX40" si="295">COUNTIFS($B:$B,"BIRDSBORO",$C:$C,"CWS ",$M:$M,AG39)</f>
        <v>0</v>
      </c>
      <c r="CY39" s="191">
        <f t="shared" ref="CY39:CY40" si="296">COUNTIFS($B:$B,"CONSHOHOCKEN",$C:$C,"CWS ",$M:$M,AG39)</f>
        <v>0</v>
      </c>
      <c r="CZ39" s="191">
        <f t="shared" ref="CZ39:CZ40" si="297">COUNTIFS($B:$B,"PHILADELPHIA",$C:$C,"CWS ",$M:$M,AG39)</f>
        <v>0</v>
      </c>
      <c r="DA39" s="191">
        <f t="shared" ref="DA39:DA45" si="298">SUM(CX39:CZ39)</f>
        <v>0</v>
      </c>
      <c r="DB39" s="191">
        <f t="shared" ref="DB39:DB40" si="299">COUNTIFS($B:$B,"PHILADELPHIA",$C:$C,"LIRS",$M:$M,AG39)</f>
        <v>0</v>
      </c>
      <c r="DC39" s="191">
        <f t="shared" ref="DC39:DC40" si="300">COUNTIFS($B:$B,"ROSLYN",$C:$C,"LIRS",$M:$M,AG39)</f>
        <v>0</v>
      </c>
      <c r="DD39" s="191">
        <f t="shared" ref="DD39:DD40" si="301">COUNTIFS($B:$B,"WEST CHESTER",$C:$C,"LIRS",$M:$M,AG39)</f>
        <v>0</v>
      </c>
      <c r="DE39" s="191">
        <f t="shared" ref="DE39:DE45" si="302">SUM(DB39:DD39)</f>
        <v>0</v>
      </c>
      <c r="DF39" s="191">
        <f t="shared" ref="DF39:DF40" si="303">COUNTIFS($B:$B,"AVONDALE",$C:$C,"USCRI",$M:$M,AG39)</f>
        <v>0</v>
      </c>
      <c r="DG39" s="191">
        <f t="shared" ref="DG39:DG40" si="304">COUNTIFS($B:$B,"BENSALEM",$C:$C,"USCRI",$M:$M,AG39)</f>
        <v>0</v>
      </c>
      <c r="DH39" s="191">
        <f t="shared" ref="DH39:DH40" si="305">COUNTIFS($B:$B,"BOOTHWYN",$C:$C,"USCRI",$M:$M,AG39)</f>
        <v>0</v>
      </c>
      <c r="DI39" s="191">
        <f t="shared" ref="DI39:DI40" si="306">COUNTIFS($B:$B,"BROOMALL",$C:$C,"USCRI",$M:$M,AG39)</f>
        <v>0</v>
      </c>
      <c r="DJ39" s="191">
        <f t="shared" ref="DJ39:DJ40" si="307">COUNTIFS($B:$B,"CHESTER",$C:$C,"USCRI",$M:$M,AG39)</f>
        <v>0</v>
      </c>
      <c r="DK39" s="191">
        <f t="shared" ref="DK39:DK40" si="308">COUNTIFS($B:$B,"CLIFTON HEIGHTS",$C:$C,"USCRI",$M:$M,AG39)</f>
        <v>0</v>
      </c>
      <c r="DL39" s="191">
        <f t="shared" ref="DL39:DL40" si="309">COUNTIFS($B:$B,"COLLEGEVILLE",$C:$C,"USCRI",$M:$M,AG39)</f>
        <v>0</v>
      </c>
      <c r="DM39" s="191">
        <f t="shared" ref="DM39:DM40" si="310">COUNTIFS($B:$B,"COLLINGDALE",$C:$C,"USCRI",$M:$M,AG39)</f>
        <v>0</v>
      </c>
      <c r="DN39" s="191">
        <f t="shared" ref="DN39:DN40" si="311">COUNTIFS($B:$B,"CONSHOHOCKEN",$C:$C,"USCRI",$M:$M,AG39)</f>
        <v>0</v>
      </c>
      <c r="DO39" s="191">
        <f t="shared" ref="DO39:DO40" si="312">COUNTIFS($B:$B,"DARBY",$C:$C,"USCRI",$M:$M,AG39)</f>
        <v>0</v>
      </c>
      <c r="DP39" s="191">
        <f t="shared" ref="DP39:DP40" si="313">COUNTIFS($B:$B,"DOWNINGTOWN",$C:$C,"USCRI",$M:$M,AG39)</f>
        <v>0</v>
      </c>
      <c r="DQ39" s="259">
        <f>COUNTIFS($B:$B,"ELKINS PARK",$C:$C,"USCRI",$M:$M,AG39)</f>
        <v>0</v>
      </c>
      <c r="DR39" s="191">
        <f t="shared" ref="DR39:DR40" si="314">COUNTIFS($B:$B,"FEASTERVILLE",$C:$C,"USCRI",$M:$M,AG39)</f>
        <v>0</v>
      </c>
      <c r="DS39" s="191">
        <f t="shared" ref="DS39:DS40" si="315">COUNTIFS($B:$B,"HORSHAM",$C:$C,"USCRI",$M:$M,AG39)</f>
        <v>0</v>
      </c>
      <c r="DT39" s="191">
        <f t="shared" ref="DT39:DT40" si="316">COUNTIFS($B:$B,"LANGHORNE",$C:$C,"USCRI",$M:$M,AG39)</f>
        <v>0</v>
      </c>
      <c r="DU39" s="191">
        <f t="shared" ref="DU39:DU40" si="317">COUNTIFS($B:$B,"LEVITTOWN",$C:$C,"USCRI",$M:$M,AG39)</f>
        <v>0</v>
      </c>
      <c r="DV39" s="191">
        <f t="shared" ref="DV39:DV40" si="318">COUNTIFS($B:$B,"MEDIA",$C:$C,"USCRI",$M:$M,AG39)</f>
        <v>0</v>
      </c>
      <c r="DW39" s="191">
        <f t="shared" ref="DW39:DW40" si="319">COUNTIFS($B:$B,"NORRISTOWN",$C:$C,"USCRI",$M:$M,AG39)</f>
        <v>0</v>
      </c>
      <c r="DX39" s="191">
        <f t="shared" ref="DX39:DX40" si="320">COUNTIFS($B:$B,"NORWOOD",$C:$C,"USCRI",$M:$M,AG39)</f>
        <v>0</v>
      </c>
      <c r="DY39" s="191">
        <f t="shared" ref="DY39:DY40" si="321">COUNTIFS($B:$B,"PHILADELPHIA",$C:$C,"USCRI",$M:$M,AG39)</f>
        <v>0</v>
      </c>
      <c r="DZ39" s="191">
        <f t="shared" ref="DZ39:DZ40" si="322">COUNTIFS($B:$B,"SWARTHMORE",$C:$C,"USCRI",$M:$M,AG39)</f>
        <v>0</v>
      </c>
      <c r="EA39" s="191">
        <f t="shared" ref="EA39:EA40" si="323">COUNTIFS($B:$B,"TREVOSE",$C:$C,"USCRI",$M:$M,AG39)</f>
        <v>0</v>
      </c>
      <c r="EB39" s="191">
        <f t="shared" ref="EB39:EB40" si="324">COUNTIFS($B:$B,"FEASTERVILLE TREVOSE",$C:$C,"USCRI",$M:$M,AG39)</f>
        <v>0</v>
      </c>
      <c r="EC39" s="263">
        <f t="shared" ref="EC39:EC45" si="325">COUNTIFS($B:$B,"HUNTINGTON VALLEY",$C:$C,"USCRI",$M:$M,AG39)</f>
        <v>0</v>
      </c>
      <c r="ED39" s="191">
        <f t="shared" ref="ED39:ED40" si="326">COUNTIFS($B:$B,"UPPER CHICHESTER",$C:$C,"USCRI",$M:$M,AG39)</f>
        <v>0</v>
      </c>
      <c r="EE39" s="191">
        <f t="shared" ref="EE39:EE40" si="327">COUNTIFS($B:$B,"WARMINSTER",$C:$C,"USCRI",$M:$M,AG39)</f>
        <v>0</v>
      </c>
      <c r="EF39" s="191">
        <f t="shared" ref="EF39:EF40" si="328">COUNTIFS($B:$B,"WEST CHESTER",$C:$C,"USCRI",$M:$M,AG39)</f>
        <v>0</v>
      </c>
      <c r="EG39" s="191">
        <f t="shared" ref="EG39:EG40" si="329">COUNTIFS($B:$B,"WILLOW GROVE",$C:$C,"USCRI",$M:$M,AG39)</f>
        <v>0</v>
      </c>
      <c r="EH39" s="191">
        <f t="shared" ref="EH39:EH40" si="330">COUNTIFS($B:$B,"SOUTHAMPTON",$C:$C,"USCRI",$M:$M,AG39)</f>
        <v>0</v>
      </c>
      <c r="EI39" s="191">
        <f t="shared" ref="EI39:EI40" si="331">SUM(DF39:EH39)</f>
        <v>0</v>
      </c>
      <c r="EJ39" s="259">
        <f t="shared" si="114"/>
        <v>0</v>
      </c>
      <c r="EK39" s="191">
        <f>COUNTIFS($B:$B,"ELKINS PARK",$C:$C,"USCCB",$M:$M,AG39)</f>
        <v>0</v>
      </c>
      <c r="EL39" s="191">
        <f>COUNTIFS($B:$B,"CHESTER",$C:$C,"USCCB",$M:$M,AG39)</f>
        <v>0</v>
      </c>
      <c r="EM39" s="259">
        <f>COUNTIFS($B:$B,"GLENOLDEN",$C:$C,"USCCB",$M:$M,AG39)</f>
        <v>0</v>
      </c>
      <c r="EN39" s="259">
        <f>COUNTIFS($B:$B,"WARMINSTER",$C:$C,"USCCB",$M:$M,AG39)</f>
        <v>0</v>
      </c>
      <c r="EO39" s="259">
        <f t="shared" ref="EO39:EO45" si="332">SUM(EK39:EN39)</f>
        <v>0</v>
      </c>
      <c r="EQ39" s="191">
        <f>COUNTIFS($B:$B,"ALLENTOWN",$C:$C,"USCCB",$M:$M,AG39)</f>
        <v>0</v>
      </c>
      <c r="ER39" s="191">
        <f>COUNTIFS($B:$B,"EASTON",$C:$C,"USCCB",$M:$M,AG39)</f>
        <v>0</v>
      </c>
      <c r="ES39" s="191">
        <f>COUNTIFS($B:$B,"KINGSTON",$C:$C,"USCCB",$M:$M,AG39)</f>
        <v>0</v>
      </c>
      <c r="ET39" s="191">
        <f>COUNTIFS($B:$B,"NORTHAMPTON",$C:$C,"USCCB",$M:$M,AG39)</f>
        <v>0</v>
      </c>
      <c r="EU39" s="191">
        <f>COUNTIFS($B:$B,"SCRANTON",$C:$C,"USCCB",$M:$M,AG39)</f>
        <v>0</v>
      </c>
      <c r="EV39" s="191">
        <f>COUNTIFS($B:$B,"TAYLOR",$C:$C,"USCCB",$M:$M,AG39)</f>
        <v>0</v>
      </c>
      <c r="EW39" s="191">
        <f>COUNTIFS($B:$B,"WILKES-BARRE",$C:$C,"USCCB",$M:$M,AG39)</f>
        <v>0</v>
      </c>
      <c r="EX39" s="191">
        <f>COUNTIFS($B:$B,"WILLIAMSPORT",$C:$C,"USCCB",$M:$M,AG39)</f>
        <v>0</v>
      </c>
      <c r="EY39" s="191">
        <f t="shared" ref="EY39:EY45" si="333">SUM(EQ39,ER39,ES39,ET39,EV39,EW39,EX39)</f>
        <v>0</v>
      </c>
      <c r="EZ39" s="191">
        <f>COUNTIFS($B:$B,"ALLENTOWN",$C:$C,"LIRS",$M:$M,AG39)</f>
        <v>0</v>
      </c>
      <c r="FF39" s="191">
        <f>COUNTIFS($B:$B,"ERIE",$C:$C,"USCCB",$M:$M,AG39)</f>
        <v>0</v>
      </c>
      <c r="FG39" s="191">
        <f>COUNTIFS($B:$B,"ERIE",$C:$C,"USCRI",$M:$M,AG39)</f>
        <v>0</v>
      </c>
      <c r="FH39" s="191">
        <f>COUNTIFS($B:$B,"GIRARD",$C:$C,"USCRI",$M:$M,AG39)</f>
        <v>0</v>
      </c>
      <c r="FI39" s="191">
        <f t="shared" ref="FI39:FI45" si="334">SUM(FG39:FH39)</f>
        <v>0</v>
      </c>
      <c r="FL39" s="159" t="s">
        <v>200</v>
      </c>
      <c r="FM39" s="160" t="s">
        <v>201</v>
      </c>
    </row>
    <row r="40" spans="1:169" ht="15.75" thickBot="1" x14ac:dyDescent="0.3">
      <c r="A40" s="304">
        <v>38</v>
      </c>
      <c r="B40" s="299" t="s">
        <v>6</v>
      </c>
      <c r="C40" s="300" t="s">
        <v>3</v>
      </c>
      <c r="D40" s="299"/>
      <c r="E40" s="301"/>
      <c r="F40" s="301"/>
      <c r="G40" s="301"/>
      <c r="H40" s="299"/>
      <c r="I40" s="299"/>
      <c r="J40" s="299"/>
      <c r="K40" s="301"/>
      <c r="L40" s="302"/>
      <c r="M40" s="301" t="s">
        <v>150</v>
      </c>
      <c r="N40" s="303"/>
      <c r="O40" s="302">
        <v>42992</v>
      </c>
      <c r="P40" s="259"/>
      <c r="U40" s="99"/>
      <c r="X40" s="83" t="s">
        <v>122</v>
      </c>
      <c r="Y40" s="97">
        <f>COUNTIFS($B:$B,"BRENTWOOD",$C:$C,"USCRI")</f>
        <v>0</v>
      </c>
      <c r="Z40" s="135">
        <f>SUM(AI42:AK42,AM42:AN42,AP42:AU42,AW42:BC42)</f>
        <v>0</v>
      </c>
      <c r="AA40" s="135">
        <f>SUM(BI42:CD42,CF42:CO42,CQ42)</f>
        <v>0</v>
      </c>
      <c r="AB40" s="135">
        <f t="shared" si="78"/>
        <v>0</v>
      </c>
      <c r="AC40" s="135">
        <f>SUM(EQ42:EX42,EZ42)</f>
        <v>0</v>
      </c>
      <c r="AD40" s="135">
        <f>SUM(FF42:FH42)</f>
        <v>0</v>
      </c>
      <c r="AF40" s="159" t="s">
        <v>278</v>
      </c>
      <c r="AG40" s="160" t="s">
        <v>275</v>
      </c>
      <c r="AH40" s="114">
        <f>SUM(AI40:AK40,AM40:AN40,AP40:AU40,AW40:BC40,BI40:CD40,CF40:CO40,CQ40,CW40:CZ40,DB40:DD40,DF40:EH40,EK40,EL40:EN40,EQ40:EX40,EZ40,FF40:FH40)</f>
        <v>0</v>
      </c>
      <c r="AI40" s="191">
        <f t="shared" si="237"/>
        <v>0</v>
      </c>
      <c r="AJ40" s="191">
        <f t="shared" si="238"/>
        <v>0</v>
      </c>
      <c r="AK40" s="191">
        <f t="shared" si="239"/>
        <v>0</v>
      </c>
      <c r="AL40" s="136">
        <f t="shared" si="240"/>
        <v>0</v>
      </c>
      <c r="AM40" s="191">
        <f t="shared" si="241"/>
        <v>0</v>
      </c>
      <c r="AN40" s="191">
        <f t="shared" si="242"/>
        <v>0</v>
      </c>
      <c r="AO40" s="191">
        <f t="shared" si="243"/>
        <v>0</v>
      </c>
      <c r="AP40" s="191">
        <f t="shared" si="244"/>
        <v>0</v>
      </c>
      <c r="AQ40" s="191">
        <f t="shared" si="245"/>
        <v>0</v>
      </c>
      <c r="AR40" s="191">
        <f t="shared" si="246"/>
        <v>0</v>
      </c>
      <c r="AS40" s="259">
        <f t="shared" si="247"/>
        <v>0</v>
      </c>
      <c r="AT40" s="191">
        <f t="shared" si="248"/>
        <v>0</v>
      </c>
      <c r="AU40" s="191">
        <f t="shared" si="249"/>
        <v>0</v>
      </c>
      <c r="AV40" s="191">
        <f t="shared" si="250"/>
        <v>0</v>
      </c>
      <c r="AW40" s="191">
        <f t="shared" si="251"/>
        <v>0</v>
      </c>
      <c r="AX40" s="191">
        <f t="shared" si="252"/>
        <v>0</v>
      </c>
      <c r="AY40" s="191">
        <f t="shared" si="253"/>
        <v>0</v>
      </c>
      <c r="AZ40" s="191">
        <f t="shared" si="254"/>
        <v>0</v>
      </c>
      <c r="BA40" s="191">
        <f t="shared" si="255"/>
        <v>0</v>
      </c>
      <c r="BB40" s="191">
        <f t="shared" si="256"/>
        <v>0</v>
      </c>
      <c r="BC40" s="263">
        <f t="shared" si="257"/>
        <v>0</v>
      </c>
      <c r="BD40" s="259">
        <f t="shared" si="258"/>
        <v>0</v>
      </c>
      <c r="BI40" s="191">
        <f t="shared" si="259"/>
        <v>0</v>
      </c>
      <c r="BJ40" s="191">
        <f t="shared" si="260"/>
        <v>0</v>
      </c>
      <c r="BK40" s="191">
        <f t="shared" si="261"/>
        <v>0</v>
      </c>
      <c r="BL40" s="191">
        <f t="shared" si="262"/>
        <v>0</v>
      </c>
      <c r="BM40" s="191">
        <f t="shared" si="263"/>
        <v>0</v>
      </c>
      <c r="BN40" s="191">
        <f t="shared" si="264"/>
        <v>0</v>
      </c>
      <c r="BO40" s="259">
        <f t="shared" si="265"/>
        <v>0</v>
      </c>
      <c r="BP40" s="191">
        <f t="shared" si="266"/>
        <v>0</v>
      </c>
      <c r="BQ40" s="191">
        <f t="shared" si="267"/>
        <v>0</v>
      </c>
      <c r="BR40" s="259">
        <f t="shared" si="268"/>
        <v>0</v>
      </c>
      <c r="BS40" s="191">
        <f t="shared" si="269"/>
        <v>0</v>
      </c>
      <c r="BT40" s="191">
        <f t="shared" si="270"/>
        <v>0</v>
      </c>
      <c r="BU40" s="191">
        <f t="shared" si="271"/>
        <v>0</v>
      </c>
      <c r="BV40" s="259">
        <f t="shared" si="272"/>
        <v>0</v>
      </c>
      <c r="BW40" s="191">
        <f t="shared" si="273"/>
        <v>0</v>
      </c>
      <c r="BX40" s="191">
        <f t="shared" si="274"/>
        <v>0</v>
      </c>
      <c r="BY40" s="191">
        <f t="shared" si="275"/>
        <v>0</v>
      </c>
      <c r="BZ40" s="191">
        <f t="shared" si="276"/>
        <v>0</v>
      </c>
      <c r="CA40" s="191">
        <f t="shared" si="277"/>
        <v>0</v>
      </c>
      <c r="CB40" s="191">
        <f t="shared" si="278"/>
        <v>0</v>
      </c>
      <c r="CC40" s="191">
        <f t="shared" si="279"/>
        <v>0</v>
      </c>
      <c r="CD40" s="191">
        <f t="shared" si="280"/>
        <v>0</v>
      </c>
      <c r="CE40" s="191">
        <f t="shared" si="281"/>
        <v>0</v>
      </c>
      <c r="CF40" s="191">
        <f t="shared" si="282"/>
        <v>0</v>
      </c>
      <c r="CG40" s="191">
        <f t="shared" si="283"/>
        <v>0</v>
      </c>
      <c r="CH40" s="191">
        <f t="shared" si="284"/>
        <v>0</v>
      </c>
      <c r="CI40" s="191">
        <f t="shared" si="285"/>
        <v>0</v>
      </c>
      <c r="CJ40" s="191">
        <f t="shared" si="286"/>
        <v>0</v>
      </c>
      <c r="CK40" s="191">
        <f t="shared" si="287"/>
        <v>0</v>
      </c>
      <c r="CL40" s="191">
        <f t="shared" si="288"/>
        <v>0</v>
      </c>
      <c r="CM40" s="191">
        <f t="shared" si="289"/>
        <v>0</v>
      </c>
      <c r="CN40" s="191">
        <f t="shared" si="290"/>
        <v>0</v>
      </c>
      <c r="CO40" s="191">
        <f t="shared" si="291"/>
        <v>0</v>
      </c>
      <c r="CP40" s="191">
        <f t="shared" si="292"/>
        <v>0</v>
      </c>
      <c r="CQ40" s="191">
        <f t="shared" si="293"/>
        <v>0</v>
      </c>
      <c r="CW40" s="191">
        <f t="shared" si="294"/>
        <v>0</v>
      </c>
      <c r="CX40" s="191">
        <f t="shared" si="295"/>
        <v>0</v>
      </c>
      <c r="CY40" s="191">
        <f t="shared" si="296"/>
        <v>0</v>
      </c>
      <c r="CZ40" s="191">
        <f t="shared" si="297"/>
        <v>0</v>
      </c>
      <c r="DA40" s="191">
        <f t="shared" si="298"/>
        <v>0</v>
      </c>
      <c r="DB40" s="191">
        <f t="shared" si="299"/>
        <v>0</v>
      </c>
      <c r="DC40" s="191">
        <f t="shared" si="300"/>
        <v>0</v>
      </c>
      <c r="DD40" s="191">
        <f t="shared" si="301"/>
        <v>0</v>
      </c>
      <c r="DE40" s="191">
        <f t="shared" si="302"/>
        <v>0</v>
      </c>
      <c r="DF40" s="191">
        <f t="shared" si="303"/>
        <v>0</v>
      </c>
      <c r="DG40" s="191">
        <f t="shared" si="304"/>
        <v>0</v>
      </c>
      <c r="DH40" s="191">
        <f t="shared" si="305"/>
        <v>0</v>
      </c>
      <c r="DI40" s="191">
        <f t="shared" si="306"/>
        <v>0</v>
      </c>
      <c r="DJ40" s="191">
        <f t="shared" si="307"/>
        <v>0</v>
      </c>
      <c r="DK40" s="191">
        <f t="shared" si="308"/>
        <v>0</v>
      </c>
      <c r="DL40" s="191">
        <f t="shared" si="309"/>
        <v>0</v>
      </c>
      <c r="DM40" s="191">
        <f t="shared" si="310"/>
        <v>0</v>
      </c>
      <c r="DN40" s="191">
        <f t="shared" si="311"/>
        <v>0</v>
      </c>
      <c r="DO40" s="191">
        <f t="shared" si="312"/>
        <v>0</v>
      </c>
      <c r="DP40" s="191">
        <f t="shared" si="313"/>
        <v>0</v>
      </c>
      <c r="DQ40" s="259">
        <f>COUNTIFS($B:$B,"ELKINS PARK",$C:$C,"USCRI",$M:$M,AG40)</f>
        <v>0</v>
      </c>
      <c r="DR40" s="191">
        <f t="shared" si="314"/>
        <v>0</v>
      </c>
      <c r="DS40" s="191">
        <f t="shared" si="315"/>
        <v>0</v>
      </c>
      <c r="DT40" s="191">
        <f t="shared" si="316"/>
        <v>0</v>
      </c>
      <c r="DU40" s="191">
        <f t="shared" si="317"/>
        <v>0</v>
      </c>
      <c r="DV40" s="191">
        <f t="shared" si="318"/>
        <v>0</v>
      </c>
      <c r="DW40" s="191">
        <f t="shared" si="319"/>
        <v>0</v>
      </c>
      <c r="DX40" s="191">
        <f t="shared" si="320"/>
        <v>0</v>
      </c>
      <c r="DY40" s="191">
        <f t="shared" si="321"/>
        <v>0</v>
      </c>
      <c r="DZ40" s="191">
        <f t="shared" si="322"/>
        <v>0</v>
      </c>
      <c r="EA40" s="191">
        <f t="shared" si="323"/>
        <v>0</v>
      </c>
      <c r="EB40" s="191">
        <f t="shared" si="324"/>
        <v>0</v>
      </c>
      <c r="EC40" s="263">
        <f t="shared" si="325"/>
        <v>0</v>
      </c>
      <c r="ED40" s="191">
        <f t="shared" si="326"/>
        <v>0</v>
      </c>
      <c r="EE40" s="191">
        <f t="shared" si="327"/>
        <v>0</v>
      </c>
      <c r="EF40" s="191">
        <f t="shared" si="328"/>
        <v>0</v>
      </c>
      <c r="EG40" s="191">
        <f t="shared" si="329"/>
        <v>0</v>
      </c>
      <c r="EH40" s="191">
        <f t="shared" si="330"/>
        <v>0</v>
      </c>
      <c r="EI40" s="191">
        <f t="shared" si="331"/>
        <v>0</v>
      </c>
      <c r="EJ40" s="259">
        <f t="shared" si="114"/>
        <v>0</v>
      </c>
      <c r="EK40" s="191">
        <f>COUNTIFS($B:$B,"ELKINS PARK",$C:$C,"USCCB",$M:$M,AG40)</f>
        <v>0</v>
      </c>
      <c r="EL40" s="191">
        <f>COUNTIFS($B:$B,"CHESTER",$C:$C,"USCCB",$M:$M,AG40)</f>
        <v>0</v>
      </c>
      <c r="EM40" s="259">
        <f>COUNTIFS($B:$B,"GLENOLDEN",$C:$C,"USCCB",$M:$M,AG40)</f>
        <v>0</v>
      </c>
      <c r="EN40" s="259">
        <f>COUNTIFS($B:$B,"WARMINSTER",$C:$C,"USCCB",$M:$M,AG40)</f>
        <v>0</v>
      </c>
      <c r="EO40" s="259">
        <f t="shared" si="332"/>
        <v>0</v>
      </c>
      <c r="EQ40" s="191">
        <f>COUNTIFS($B:$B,"ALLENTOWN",$C:$C,"USCCB",$M:$M,AG40)</f>
        <v>0</v>
      </c>
      <c r="ER40" s="191">
        <f>COUNTIFS($B:$B,"EASTON",$C:$C,"USCCB",$M:$M,AG40)</f>
        <v>0</v>
      </c>
      <c r="ES40" s="191">
        <f>COUNTIFS($B:$B,"KINGSTON",$C:$C,"USCCB",$M:$M,AG40)</f>
        <v>0</v>
      </c>
      <c r="ET40" s="191">
        <f>COUNTIFS($B:$B,"NORTHAMPTON",$C:$C,"USCCB",$M:$M,AG40)</f>
        <v>0</v>
      </c>
      <c r="EU40" s="191">
        <f>COUNTIFS($B:$B,"SCRANTON",$C:$C,"USCCB",$M:$M,AG40)</f>
        <v>0</v>
      </c>
      <c r="EV40" s="191">
        <f>COUNTIFS($B:$B,"TAYLOR",$C:$C,"USCCB",$M:$M,AG40)</f>
        <v>0</v>
      </c>
      <c r="EW40" s="191">
        <f>COUNTIFS($B:$B,"WILKES-BARRE",$C:$C,"USCCB",$M:$M,AG40)</f>
        <v>0</v>
      </c>
      <c r="EX40" s="191">
        <f>COUNTIFS($B:$B,"WILLIAMSPORT",$C:$C,"USCCB",$M:$M,AG40)</f>
        <v>0</v>
      </c>
      <c r="EY40" s="191">
        <f t="shared" si="333"/>
        <v>0</v>
      </c>
      <c r="EZ40" s="191">
        <f>COUNTIFS($B:$B,"ALLENTOWN",$C:$C,"LIRS",$M:$M,AG40)</f>
        <v>0</v>
      </c>
      <c r="FF40" s="191">
        <f>COUNTIFS($B:$B,"ERIE",$C:$C,"USCCB",$M:$M,AG40)</f>
        <v>0</v>
      </c>
      <c r="FG40" s="191">
        <f>COUNTIFS($B:$B,"ERIE",$C:$C,"USCRI",$M:$M,AG40)</f>
        <v>0</v>
      </c>
      <c r="FH40" s="191">
        <f>COUNTIFS($B:$B,"GIRARD",$C:$C,"USCRI",$M:$M,AG40)</f>
        <v>0</v>
      </c>
      <c r="FI40" s="191">
        <f t="shared" si="334"/>
        <v>0</v>
      </c>
      <c r="FL40" s="159" t="s">
        <v>278</v>
      </c>
      <c r="FM40" s="160" t="s">
        <v>275</v>
      </c>
    </row>
    <row r="41" spans="1:169" ht="15.75" thickBot="1" x14ac:dyDescent="0.3">
      <c r="A41" s="304">
        <v>39</v>
      </c>
      <c r="B41" s="299" t="s">
        <v>6</v>
      </c>
      <c r="C41" s="300" t="s">
        <v>3</v>
      </c>
      <c r="D41" s="299"/>
      <c r="E41" s="301"/>
      <c r="F41" s="301"/>
      <c r="G41" s="301"/>
      <c r="H41" s="299"/>
      <c r="I41" s="299"/>
      <c r="J41" s="299"/>
      <c r="K41" s="301"/>
      <c r="L41" s="302"/>
      <c r="M41" s="301" t="s">
        <v>150</v>
      </c>
      <c r="N41" s="303"/>
      <c r="O41" s="302">
        <v>42992</v>
      </c>
      <c r="P41" s="259"/>
      <c r="Q41" s="312" t="s">
        <v>266</v>
      </c>
      <c r="R41" s="312">
        <f>SUM(Q6:Q38)</f>
        <v>178</v>
      </c>
      <c r="X41" s="83" t="s">
        <v>109</v>
      </c>
      <c r="Y41" s="97">
        <f>COUNTIFS($B:$B,"CASTLE SHANNON",$C:$C,"USCRI")</f>
        <v>0</v>
      </c>
      <c r="Z41" s="135">
        <f>SUM(AI43:AK43,AM43:AN43,AP43:AU43,AW43:BC43)</f>
        <v>0</v>
      </c>
      <c r="AA41" s="135">
        <f>SUM(BI43:CD43,CF43:CO43,CQ43)</f>
        <v>0</v>
      </c>
      <c r="AB41" s="135">
        <f t="shared" si="78"/>
        <v>0</v>
      </c>
      <c r="AC41" s="135">
        <f>SUM(EQ43:EX43,EZ43)</f>
        <v>0</v>
      </c>
      <c r="AD41" s="135">
        <f>SUM(FF43:FH43)</f>
        <v>0</v>
      </c>
      <c r="AF41" s="159" t="s">
        <v>202</v>
      </c>
      <c r="AG41" s="160" t="s">
        <v>203</v>
      </c>
      <c r="AH41" s="114">
        <f>SUM(AI41:AK41,AM41:AN41,AP41:AU41,AW41:BC41,BI41:CD41,CF41:CO41,CQ41,CW41:CZ41,DB41:DD41,DF41:EH41,EK41,EL41:EN41,EQ41:EX41,EZ41,FF41:FH41)</f>
        <v>0</v>
      </c>
      <c r="AI41" s="191">
        <f t="shared" si="237"/>
        <v>0</v>
      </c>
      <c r="AJ41" s="191">
        <f t="shared" si="238"/>
        <v>0</v>
      </c>
      <c r="AK41" s="191">
        <f t="shared" si="239"/>
        <v>0</v>
      </c>
      <c r="AL41" s="136">
        <f t="shared" si="240"/>
        <v>0</v>
      </c>
      <c r="AM41" s="191">
        <f t="shared" si="241"/>
        <v>0</v>
      </c>
      <c r="AN41" s="191">
        <f t="shared" si="242"/>
        <v>0</v>
      </c>
      <c r="AO41" s="191">
        <f t="shared" si="243"/>
        <v>0</v>
      </c>
      <c r="AP41" s="191">
        <f t="shared" si="244"/>
        <v>0</v>
      </c>
      <c r="AQ41" s="191">
        <f t="shared" si="245"/>
        <v>0</v>
      </c>
      <c r="AR41" s="191">
        <f t="shared" si="246"/>
        <v>0</v>
      </c>
      <c r="AS41" s="259">
        <f t="shared" si="247"/>
        <v>0</v>
      </c>
      <c r="AT41" s="191">
        <f t="shared" si="248"/>
        <v>0</v>
      </c>
      <c r="AU41" s="191">
        <f t="shared" si="249"/>
        <v>0</v>
      </c>
      <c r="AV41" s="191">
        <f t="shared" si="250"/>
        <v>0</v>
      </c>
      <c r="AW41" s="191">
        <f t="shared" si="251"/>
        <v>0</v>
      </c>
      <c r="AX41" s="191">
        <f t="shared" si="252"/>
        <v>0</v>
      </c>
      <c r="AY41" s="191">
        <f t="shared" si="253"/>
        <v>0</v>
      </c>
      <c r="AZ41" s="191">
        <f t="shared" si="254"/>
        <v>0</v>
      </c>
      <c r="BA41" s="191">
        <f t="shared" si="255"/>
        <v>0</v>
      </c>
      <c r="BB41" s="191">
        <f t="shared" si="256"/>
        <v>0</v>
      </c>
      <c r="BC41" s="263">
        <f t="shared" si="257"/>
        <v>0</v>
      </c>
      <c r="BD41" s="259">
        <f t="shared" si="258"/>
        <v>0</v>
      </c>
      <c r="BI41" s="191">
        <f t="shared" ref="BI41:BI64" si="335">COUNTIFS($B:$B,"BOALSBURG",$C:$C,"USCCB",$M:$M,AG41)</f>
        <v>0</v>
      </c>
      <c r="BJ41" s="191">
        <f t="shared" ref="BJ41:BJ64" si="336">COUNTIFS($B:$B,"CAMP HILL",$C:$C,"USCCB",$M:$M,AG41)</f>
        <v>0</v>
      </c>
      <c r="BK41" s="191">
        <f t="shared" ref="BK41:BK64" si="337">COUNTIFS($B:$B,"CARLISLE",$C:$C,"USCCB",$M:$M,AG41)</f>
        <v>0</v>
      </c>
      <c r="BL41" s="191">
        <f t="shared" ref="BL41:BL64" si="338">COUNTIFS($B:$B,"CHAMBERSBURG",$C:$C,"USCCB",$M:$M,AG41)</f>
        <v>0</v>
      </c>
      <c r="BM41" s="191">
        <f t="shared" ref="BM41:BM64" si="339">COUNTIFS($B:$B,"ELIZABETHTOWN",$C:$C,"USCCB",$M:$M,AG41)</f>
        <v>0</v>
      </c>
      <c r="BN41" s="191">
        <f t="shared" ref="BN41:BN64" si="340">COUNTIFS($B:$B,"ENOLA",$C:$C,"USCCB",$M:$M,AG41)</f>
        <v>0</v>
      </c>
      <c r="BO41" s="259">
        <f t="shared" si="265"/>
        <v>0</v>
      </c>
      <c r="BP41" s="191">
        <f t="shared" ref="BP41:BP64" si="341">COUNTIFS($B:$B,"GETTYSBURG",$C:$C,"USCCB",$M:$M,AG41)</f>
        <v>0</v>
      </c>
      <c r="BQ41" s="191">
        <f t="shared" ref="BQ41:BQ64" si="342">COUNTIFS($B:$B,"GREENCASTLE",$C:$C,"USCCB",$M:$M,AG41)</f>
        <v>0</v>
      </c>
      <c r="BR41" s="259">
        <f t="shared" si="268"/>
        <v>0</v>
      </c>
      <c r="BS41" s="191">
        <f t="shared" ref="BS41:BS64" si="343">COUNTIFS($B:$B,"HARRISBURG",$C:$C,"USCCB",$M:$M,AG41)</f>
        <v>0</v>
      </c>
      <c r="BT41" s="191">
        <f t="shared" ref="BT41:BT64" si="344">COUNTIFS($B:$B,"HUMMELSTOWN",$C:$C,"USCCB",$M:$M,AG41)</f>
        <v>0</v>
      </c>
      <c r="BU41" s="191">
        <f t="shared" ref="BU41:BU64" si="345">COUNTIFS($B:$B,"LEBANON",$C:$C,"USCCB",$M:$M,AG41)</f>
        <v>0</v>
      </c>
      <c r="BV41" s="259">
        <f t="shared" ref="BV41:BV64" si="346">COUNTIFS($B:$B,"MCSHERRYSTOWN",$C:$C,"USCCB",$M:$M,AG41)</f>
        <v>0</v>
      </c>
      <c r="BW41" s="191">
        <f t="shared" ref="BW41:BW64" si="347">COUNTIFS($B:$B,"MECHANICSBURG",$C:$C,"USCCB",$M:$M,AG41)</f>
        <v>0</v>
      </c>
      <c r="BX41" s="191">
        <f t="shared" ref="BX41:BX64" si="348">COUNTIFS($B:$B,"MIDDLETOWN",$C:$C,"USCCB",$M:$M,AG41)</f>
        <v>0</v>
      </c>
      <c r="BY41" s="191">
        <f t="shared" ref="BY41:BY64" si="349">COUNTIFS($B:$B,"NEW CUMBERLAND",$C:$C,"USCCB",$M:$M,AG41)</f>
        <v>0</v>
      </c>
      <c r="BZ41" s="191">
        <f t="shared" ref="BZ41:BZ64" si="350">COUNTIFS($B:$B,"PALMYRA",$C:$C,"USCCB",$M:$M,AG41)</f>
        <v>0</v>
      </c>
      <c r="CA41" s="191">
        <f t="shared" ref="CA41:CA64" si="351">COUNTIFS($B:$B,"SHIREMANSTOWN",$C:$C,"USCCB",$M:$M,AG41)</f>
        <v>0</v>
      </c>
      <c r="CB41" s="191">
        <f t="shared" ref="CB41:CB64" si="352">COUNTIFS($B:$B,"STATE COLLEGE",$C:$C,"USCCB",$M:$M,AG41)</f>
        <v>0</v>
      </c>
      <c r="CC41" s="191">
        <f t="shared" ref="CC41:CC64" si="353">COUNTIFS($B:$B,"WINFIELD",$C:$C,"USCCB",$M:$M,AG41)</f>
        <v>0</v>
      </c>
      <c r="CD41" s="191">
        <f t="shared" ref="CD41:CD64" si="354">COUNTIFS($B:$B,"YORK",$C:$C,"USCCB",$M:$M,AG41)</f>
        <v>0</v>
      </c>
      <c r="CE41" s="191">
        <f t="shared" si="281"/>
        <v>0</v>
      </c>
      <c r="CF41" s="191">
        <f t="shared" ref="CF41:CF64" si="355">COUNTIFS($B:$B,"ELIZABETHTOWN",$C:$C,"CWS ",$M:$M,AG41)</f>
        <v>0</v>
      </c>
      <c r="CG41" s="191">
        <f t="shared" ref="CG41:CG64" si="356">COUNTIFS($B:$B,"GETTYSBURG",$C:$C,"CWS ",$M:$M,AG41)</f>
        <v>0</v>
      </c>
      <c r="CH41" s="191">
        <f t="shared" ref="CH41:CH64" si="357">COUNTIFS($B:$B,"HARRISBURG",$C:$C,"CWS ",$M:$M,AG41)</f>
        <v>0</v>
      </c>
      <c r="CI41" s="191">
        <f t="shared" ref="CI41:CI64" si="358">COUNTIFS($B:$B,"LANCASTER",$C:$C,"CWS ",$M:$M,AG41)</f>
        <v>0</v>
      </c>
      <c r="CJ41" s="191">
        <f t="shared" ref="CJ41:CJ64" si="359">COUNTIFS($B:$B,"LEOLA",$C:$C,"CWS ",$M:$M,AG41)</f>
        <v>0</v>
      </c>
      <c r="CK41" s="191">
        <f t="shared" ref="CK41:CK64" si="360">COUNTIFS($B:$B,"LITITZ",$C:$C,"CWS ",$M:$M,AG41)</f>
        <v>0</v>
      </c>
      <c r="CL41" s="191">
        <f t="shared" ref="CL41:CL64" si="361">COUNTIFS($B:$B,"MECHANICSBURG",$C:$C,"CWS ",$M:$M,AG41)</f>
        <v>0</v>
      </c>
      <c r="CM41" s="191">
        <f t="shared" ref="CM41:CM64" si="362">COUNTIFS($B:$B,"MOUNT JOY",$C:$C,"CWS ",$M:$M,AG41)</f>
        <v>0</v>
      </c>
      <c r="CN41" s="191">
        <f t="shared" ref="CN41:CN64" si="363">COUNTIFS($B:$B,"YORK",$C:$C,"CWS ",$M:$M,AG41)</f>
        <v>0</v>
      </c>
      <c r="CO41" s="191">
        <f t="shared" ref="CO41:CO64" si="364">COUNTIFS($B:$B,"EPHRATA",$C:$C,"CWS ",$M:$M,AG41)</f>
        <v>0</v>
      </c>
      <c r="CP41" s="191">
        <f t="shared" si="292"/>
        <v>0</v>
      </c>
      <c r="CQ41" s="191">
        <f t="shared" ref="CQ41:CQ64" si="365">COUNTIFS($B:$B,"LANCASTER",$C:$C,"LIRS",$M:$M,AG41)</f>
        <v>0</v>
      </c>
      <c r="CW41" s="191">
        <f t="shared" ref="CW41:CW64" si="366">COUNTIFS($B:$B,"PHILADELPHIA",$C:$C,"HIAS",$M:$M,AG41)</f>
        <v>0</v>
      </c>
      <c r="CX41" s="191">
        <f t="shared" ref="CX41:CX64" si="367">COUNTIFS($B:$B,"BIRDSBORO",$C:$C,"CWS ",$M:$M,AG41)</f>
        <v>0</v>
      </c>
      <c r="CY41" s="191">
        <f t="shared" ref="CY41:CY64" si="368">COUNTIFS($B:$B,"CONSHOHOCKEN",$C:$C,"CWS ",$M:$M,AG41)</f>
        <v>0</v>
      </c>
      <c r="CZ41" s="191">
        <f t="shared" ref="CZ41:CZ64" si="369">COUNTIFS($B:$B,"PHILADELPHIA",$C:$C,"CWS ",$M:$M,AG41)</f>
        <v>0</v>
      </c>
      <c r="DA41" s="191">
        <f t="shared" si="298"/>
        <v>0</v>
      </c>
      <c r="DB41" s="191">
        <f t="shared" ref="DB41:DB64" si="370">COUNTIFS($B:$B,"PHILADELPHIA",$C:$C,"LIRS",$M:$M,AG41)</f>
        <v>0</v>
      </c>
      <c r="DC41" s="191">
        <f t="shared" ref="DC41:DC64" si="371">COUNTIFS($B:$B,"ROSLYN",$C:$C,"LIRS",$M:$M,AG41)</f>
        <v>0</v>
      </c>
      <c r="DD41" s="191">
        <f t="shared" ref="DD41:DD64" si="372">COUNTIFS($B:$B,"WEST CHESTER",$C:$C,"LIRS",$M:$M,AG41)</f>
        <v>0</v>
      </c>
      <c r="DE41" s="191">
        <f t="shared" si="302"/>
        <v>0</v>
      </c>
      <c r="DF41" s="191">
        <f t="shared" ref="DF41:DF64" si="373">COUNTIFS($B:$B,"AVONDALE",$C:$C,"USCRI",$M:$M,AG41)</f>
        <v>0</v>
      </c>
      <c r="DG41" s="191">
        <f t="shared" ref="DG41:DG64" si="374">COUNTIFS($B:$B,"BENSALEM",$C:$C,"USCRI",$M:$M,AG41)</f>
        <v>0</v>
      </c>
      <c r="DH41" s="191">
        <f t="shared" ref="DH41:DH64" si="375">COUNTIFS($B:$B,"BOOTHWYN",$C:$C,"USCRI",$M:$M,AG41)</f>
        <v>0</v>
      </c>
      <c r="DI41" s="191">
        <f t="shared" ref="DI41:DI64" si="376">COUNTIFS($B:$B,"BROOMALL",$C:$C,"USCRI",$M:$M,AG41)</f>
        <v>0</v>
      </c>
      <c r="DJ41" s="191">
        <f t="shared" ref="DJ41:DJ64" si="377">COUNTIFS($B:$B,"CHESTER",$C:$C,"USCRI",$M:$M,AG41)</f>
        <v>0</v>
      </c>
      <c r="DK41" s="191">
        <f t="shared" ref="DK41:DK64" si="378">COUNTIFS($B:$B,"CLIFTON HEIGHTS",$C:$C,"USCRI",$M:$M,AG41)</f>
        <v>0</v>
      </c>
      <c r="DL41" s="191">
        <f t="shared" ref="DL41:DL64" si="379">COUNTIFS($B:$B,"COLLEGEVILLE",$C:$C,"USCRI",$M:$M,AG41)</f>
        <v>0</v>
      </c>
      <c r="DM41" s="191">
        <f t="shared" ref="DM41:DM64" si="380">COUNTIFS($B:$B,"COLLINGDALE",$C:$C,"USCRI",$M:$M,AG41)</f>
        <v>0</v>
      </c>
      <c r="DN41" s="191">
        <f t="shared" ref="DN41:DN64" si="381">COUNTIFS($B:$B,"CONSHOHOCKEN",$C:$C,"USCRI",$M:$M,AG41)</f>
        <v>0</v>
      </c>
      <c r="DO41" s="191">
        <f t="shared" ref="DO41:DO64" si="382">COUNTIFS($B:$B,"DARBY",$C:$C,"USCRI",$M:$M,AG41)</f>
        <v>0</v>
      </c>
      <c r="DP41" s="191">
        <f t="shared" ref="DP41:DP64" si="383">COUNTIFS($B:$B,"DOWNINGTOWN",$C:$C,"USCRI",$M:$M,AG41)</f>
        <v>0</v>
      </c>
      <c r="DQ41" s="259">
        <f>COUNTIFS($B:$B,"ELKINS PARK",$C:$C,"USCRI",$M:$M,AG41)</f>
        <v>0</v>
      </c>
      <c r="DR41" s="191">
        <f t="shared" ref="DR41:DR64" si="384">COUNTIFS($B:$B,"FEASTERVILLE",$C:$C,"USCRI",$M:$M,AG41)</f>
        <v>0</v>
      </c>
      <c r="DS41" s="191">
        <f t="shared" ref="DS41:DS64" si="385">COUNTIFS($B:$B,"HORSHAM",$C:$C,"USCRI",$M:$M,AG41)</f>
        <v>0</v>
      </c>
      <c r="DT41" s="191">
        <f t="shared" ref="DT41:DT64" si="386">COUNTIFS($B:$B,"LANGHORNE",$C:$C,"USCRI",$M:$M,AG41)</f>
        <v>0</v>
      </c>
      <c r="DU41" s="191">
        <f t="shared" ref="DU41:DU64" si="387">COUNTIFS($B:$B,"LEVITTOWN",$C:$C,"USCRI",$M:$M,AG41)</f>
        <v>0</v>
      </c>
      <c r="DV41" s="191">
        <f t="shared" ref="DV41:DV64" si="388">COUNTIFS($B:$B,"MEDIA",$C:$C,"USCRI",$M:$M,AG41)</f>
        <v>0</v>
      </c>
      <c r="DW41" s="191">
        <f t="shared" ref="DW41:DW64" si="389">COUNTIFS($B:$B,"NORRISTOWN",$C:$C,"USCRI",$M:$M,AG41)</f>
        <v>0</v>
      </c>
      <c r="DX41" s="191">
        <f t="shared" ref="DX41:DX64" si="390">COUNTIFS($B:$B,"NORWOOD",$C:$C,"USCRI",$M:$M,AG41)</f>
        <v>0</v>
      </c>
      <c r="DY41" s="191">
        <f t="shared" ref="DY41:DY64" si="391">COUNTIFS($B:$B,"PHILADELPHIA",$C:$C,"USCRI",$M:$M,AG41)</f>
        <v>0</v>
      </c>
      <c r="DZ41" s="191">
        <f t="shared" ref="DZ41:DZ64" si="392">COUNTIFS($B:$B,"SWARTHMORE",$C:$C,"USCRI",$M:$M,AG41)</f>
        <v>0</v>
      </c>
      <c r="EA41" s="191">
        <f t="shared" ref="EA41:EA64" si="393">COUNTIFS($B:$B,"TREVOSE",$C:$C,"USCRI",$M:$M,AG41)</f>
        <v>0</v>
      </c>
      <c r="EB41" s="191">
        <f t="shared" ref="EB41:EB64" si="394">COUNTIFS($B:$B,"FEASTERVILLE TREVOSE",$C:$C,"USCRI",$M:$M,AG41)</f>
        <v>0</v>
      </c>
      <c r="EC41" s="263">
        <f t="shared" si="325"/>
        <v>0</v>
      </c>
      <c r="ED41" s="191">
        <f t="shared" ref="ED41:ED64" si="395">COUNTIFS($B:$B,"UPPER CHICHESTER",$C:$C,"USCRI",$M:$M,AG41)</f>
        <v>0</v>
      </c>
      <c r="EE41" s="191">
        <f t="shared" ref="EE41:EE64" si="396">COUNTIFS($B:$B,"WARMINSTER",$C:$C,"USCRI",$M:$M,AG41)</f>
        <v>0</v>
      </c>
      <c r="EF41" s="191">
        <f t="shared" ref="EF41:EF64" si="397">COUNTIFS($B:$B,"WEST CHESTER",$C:$C,"USCRI",$M:$M,AG41)</f>
        <v>0</v>
      </c>
      <c r="EG41" s="191">
        <f t="shared" ref="EG41:EG64" si="398">COUNTIFS($B:$B,"WILLOW GROVE",$C:$C,"USCRI",$M:$M,AG41)</f>
        <v>0</v>
      </c>
      <c r="EH41" s="191">
        <f t="shared" ref="EH41:EH64" si="399">COUNTIFS($B:$B,"SOUTHAMPTON",$C:$C,"USCRI",$M:$M,AG41)</f>
        <v>0</v>
      </c>
      <c r="EI41" s="191">
        <f t="shared" ref="EI41:EI64" si="400">SUM(DF41:EH41)</f>
        <v>0</v>
      </c>
      <c r="EJ41" s="259">
        <f t="shared" si="114"/>
        <v>0</v>
      </c>
      <c r="EK41" s="191">
        <f t="shared" ref="EK41:EK64" si="401">COUNTIFS($B:$B,"ELKINS PARK",$C:$C,"USCCB",$M:$M,AG41)</f>
        <v>0</v>
      </c>
      <c r="EL41" s="191">
        <f t="shared" ref="EL41:EL64" si="402">COUNTIFS($B:$B,"CHESTER",$C:$C,"USCCB",$M:$M,AG41)</f>
        <v>0</v>
      </c>
      <c r="EM41" s="259">
        <f>COUNTIFS($B:$B,"GLENOLDEN",$C:$C,"USCCB",$M:$M,AG41)</f>
        <v>0</v>
      </c>
      <c r="EN41" s="259">
        <f t="shared" ref="EN41:EN64" si="403">COUNTIFS($B:$B,"WARMINSTER",$C:$C,"USCCB",$M:$M,AG41)</f>
        <v>0</v>
      </c>
      <c r="EO41" s="259">
        <f t="shared" si="332"/>
        <v>0</v>
      </c>
      <c r="EQ41" s="191">
        <f t="shared" ref="EQ41:EQ64" si="404">COUNTIFS($B:$B,"ALLENTOWN",$C:$C,"USCCB",$M:$M,AG41)</f>
        <v>0</v>
      </c>
      <c r="ER41" s="191">
        <f t="shared" ref="ER41:ER64" si="405">COUNTIFS($B:$B,"EASTON",$C:$C,"USCCB",$M:$M,AG41)</f>
        <v>0</v>
      </c>
      <c r="ES41" s="191">
        <f t="shared" ref="ES41:ES64" si="406">COUNTIFS($B:$B,"KINGSTON",$C:$C,"USCCB",$M:$M,AG41)</f>
        <v>0</v>
      </c>
      <c r="ET41" s="191">
        <f t="shared" ref="ET41:ET64" si="407">COUNTIFS($B:$B,"NORTHAMPTON",$C:$C,"USCCB",$M:$M,AG41)</f>
        <v>0</v>
      </c>
      <c r="EU41" s="191">
        <f t="shared" ref="EU41:EU64" si="408">COUNTIFS($B:$B,"SCRANTON",$C:$C,"USCCB",$M:$M,AG41)</f>
        <v>0</v>
      </c>
      <c r="EV41" s="191">
        <f t="shared" ref="EV41:EV64" si="409">COUNTIFS($B:$B,"TAYLOR",$C:$C,"USCCB",$M:$M,AG41)</f>
        <v>0</v>
      </c>
      <c r="EW41" s="191">
        <f t="shared" ref="EW41:EW64" si="410">COUNTIFS($B:$B,"WILKES-BARRE",$C:$C,"USCCB",$M:$M,AG41)</f>
        <v>0</v>
      </c>
      <c r="EX41" s="191">
        <f t="shared" ref="EX41:EX64" si="411">COUNTIFS($B:$B,"WILLIAMSPORT",$C:$C,"USCCB",$M:$M,AG41)</f>
        <v>0</v>
      </c>
      <c r="EY41" s="191">
        <f t="shared" si="333"/>
        <v>0</v>
      </c>
      <c r="EZ41" s="191">
        <f t="shared" ref="EZ41:EZ64" si="412">COUNTIFS($B:$B,"ALLENTOWN",$C:$C,"LIRS",$M:$M,AG41)</f>
        <v>0</v>
      </c>
      <c r="FF41" s="191">
        <f t="shared" ref="FF41:FF64" si="413">COUNTIFS($B:$B,"ERIE",$C:$C,"USCCB",$M:$M,AG41)</f>
        <v>0</v>
      </c>
      <c r="FG41" s="191">
        <f t="shared" ref="FG41:FG64" si="414">COUNTIFS($B:$B,"ERIE",$C:$C,"USCRI",$M:$M,AG41)</f>
        <v>0</v>
      </c>
      <c r="FH41" s="191">
        <f t="shared" ref="FH41:FH64" si="415">COUNTIFS($B:$B,"GIRARD",$C:$C,"USCRI",$M:$M,AG41)</f>
        <v>0</v>
      </c>
      <c r="FI41" s="191">
        <f t="shared" si="334"/>
        <v>0</v>
      </c>
      <c r="FL41" s="159" t="s">
        <v>202</v>
      </c>
      <c r="FM41" s="160" t="s">
        <v>203</v>
      </c>
    </row>
    <row r="42" spans="1:169" ht="15.75" thickBot="1" x14ac:dyDescent="0.3">
      <c r="A42" s="304">
        <v>40</v>
      </c>
      <c r="B42" s="299" t="s">
        <v>6</v>
      </c>
      <c r="C42" s="300" t="s">
        <v>3</v>
      </c>
      <c r="D42" s="299"/>
      <c r="E42" s="301"/>
      <c r="F42" s="301"/>
      <c r="G42" s="301"/>
      <c r="H42" s="299"/>
      <c r="I42" s="299"/>
      <c r="J42" s="299"/>
      <c r="K42" s="301"/>
      <c r="L42" s="302"/>
      <c r="M42" s="301" t="s">
        <v>182</v>
      </c>
      <c r="N42" s="303"/>
      <c r="O42" s="302">
        <v>42992</v>
      </c>
      <c r="P42" s="259"/>
      <c r="X42" s="83" t="s">
        <v>63</v>
      </c>
      <c r="Y42" s="97">
        <f>COUNTIFS($B:$B,"CLAIRTON",$C:$C,"USCRI")</f>
        <v>0</v>
      </c>
      <c r="Z42" s="135">
        <f>SUM(AI44:AK44,AM44:AN44,AP44:AU44,AW44:BC44)</f>
        <v>0</v>
      </c>
      <c r="AA42" s="135">
        <f>SUM(BI44:CD44,CF44:CO44,CQ44)</f>
        <v>0</v>
      </c>
      <c r="AB42" s="135">
        <f t="shared" si="78"/>
        <v>0</v>
      </c>
      <c r="AC42" s="135">
        <f>SUM(EQ44:EX44,EZ44)</f>
        <v>0</v>
      </c>
      <c r="AD42" s="135">
        <f>SUM(FF44:FH44)</f>
        <v>0</v>
      </c>
      <c r="AF42" s="159" t="s">
        <v>205</v>
      </c>
      <c r="AG42" s="160" t="s">
        <v>206</v>
      </c>
      <c r="AH42" s="114">
        <f>SUM(AI42:AK42,AM42:AN42,AP42:AU42,AW42:BC42,BI42:CD42,CF42:CO42,CQ42,CW42:CZ42,DB42:DD42,DF42:EH42,EK42,EL42:EN42,EQ42:EX42,EZ42,FF42:FH42)</f>
        <v>0</v>
      </c>
      <c r="AI42" s="191">
        <f t="shared" si="237"/>
        <v>0</v>
      </c>
      <c r="AJ42" s="191">
        <f t="shared" si="238"/>
        <v>0</v>
      </c>
      <c r="AK42" s="191">
        <f t="shared" si="239"/>
        <v>0</v>
      </c>
      <c r="AL42" s="136">
        <f t="shared" si="240"/>
        <v>0</v>
      </c>
      <c r="AM42" s="191">
        <f t="shared" si="241"/>
        <v>0</v>
      </c>
      <c r="AN42" s="191">
        <f t="shared" si="242"/>
        <v>0</v>
      </c>
      <c r="AO42" s="191">
        <f t="shared" si="243"/>
        <v>0</v>
      </c>
      <c r="AP42" s="191">
        <f t="shared" si="244"/>
        <v>0</v>
      </c>
      <c r="AQ42" s="191">
        <f t="shared" si="245"/>
        <v>0</v>
      </c>
      <c r="AR42" s="191">
        <f t="shared" si="246"/>
        <v>0</v>
      </c>
      <c r="AS42" s="259">
        <f t="shared" si="247"/>
        <v>0</v>
      </c>
      <c r="AT42" s="191">
        <f t="shared" si="248"/>
        <v>0</v>
      </c>
      <c r="AU42" s="191">
        <f t="shared" si="249"/>
        <v>0</v>
      </c>
      <c r="AV42" s="191">
        <f t="shared" si="250"/>
        <v>0</v>
      </c>
      <c r="AW42" s="191">
        <f t="shared" si="251"/>
        <v>0</v>
      </c>
      <c r="AX42" s="191">
        <f t="shared" si="252"/>
        <v>0</v>
      </c>
      <c r="AY42" s="191">
        <f t="shared" si="253"/>
        <v>0</v>
      </c>
      <c r="AZ42" s="191">
        <f t="shared" si="254"/>
        <v>0</v>
      </c>
      <c r="BA42" s="191">
        <f t="shared" si="255"/>
        <v>0</v>
      </c>
      <c r="BB42" s="191">
        <f t="shared" si="256"/>
        <v>0</v>
      </c>
      <c r="BC42" s="263">
        <f t="shared" si="257"/>
        <v>0</v>
      </c>
      <c r="BD42" s="259">
        <f t="shared" si="258"/>
        <v>0</v>
      </c>
      <c r="BI42" s="191">
        <f t="shared" si="335"/>
        <v>0</v>
      </c>
      <c r="BJ42" s="191">
        <f t="shared" si="336"/>
        <v>0</v>
      </c>
      <c r="BK42" s="191">
        <f t="shared" si="337"/>
        <v>0</v>
      </c>
      <c r="BL42" s="191">
        <f t="shared" si="338"/>
        <v>0</v>
      </c>
      <c r="BM42" s="191">
        <f t="shared" si="339"/>
        <v>0</v>
      </c>
      <c r="BN42" s="191">
        <f t="shared" si="340"/>
        <v>0</v>
      </c>
      <c r="BO42" s="259">
        <f t="shared" si="265"/>
        <v>0</v>
      </c>
      <c r="BP42" s="191">
        <f t="shared" si="341"/>
        <v>0</v>
      </c>
      <c r="BQ42" s="191">
        <f t="shared" si="342"/>
        <v>0</v>
      </c>
      <c r="BR42" s="259">
        <f t="shared" si="268"/>
        <v>0</v>
      </c>
      <c r="BS42" s="191">
        <f t="shared" si="343"/>
        <v>0</v>
      </c>
      <c r="BT42" s="191">
        <f t="shared" si="344"/>
        <v>0</v>
      </c>
      <c r="BU42" s="191">
        <f t="shared" si="345"/>
        <v>0</v>
      </c>
      <c r="BV42" s="259">
        <f t="shared" si="346"/>
        <v>0</v>
      </c>
      <c r="BW42" s="191">
        <f t="shared" si="347"/>
        <v>0</v>
      </c>
      <c r="BX42" s="191">
        <f t="shared" si="348"/>
        <v>0</v>
      </c>
      <c r="BY42" s="191">
        <f t="shared" si="349"/>
        <v>0</v>
      </c>
      <c r="BZ42" s="191">
        <f t="shared" si="350"/>
        <v>0</v>
      </c>
      <c r="CA42" s="191">
        <f t="shared" si="351"/>
        <v>0</v>
      </c>
      <c r="CB42" s="191">
        <f t="shared" si="352"/>
        <v>0</v>
      </c>
      <c r="CC42" s="191">
        <f t="shared" si="353"/>
        <v>0</v>
      </c>
      <c r="CD42" s="191">
        <f t="shared" si="354"/>
        <v>0</v>
      </c>
      <c r="CE42" s="191">
        <f t="shared" si="281"/>
        <v>0</v>
      </c>
      <c r="CF42" s="191">
        <f t="shared" si="355"/>
        <v>0</v>
      </c>
      <c r="CG42" s="191">
        <f t="shared" si="356"/>
        <v>0</v>
      </c>
      <c r="CH42" s="191">
        <f t="shared" si="357"/>
        <v>0</v>
      </c>
      <c r="CI42" s="191">
        <f t="shared" si="358"/>
        <v>0</v>
      </c>
      <c r="CJ42" s="191">
        <f t="shared" si="359"/>
        <v>0</v>
      </c>
      <c r="CK42" s="191">
        <f t="shared" si="360"/>
        <v>0</v>
      </c>
      <c r="CL42" s="191">
        <f t="shared" si="361"/>
        <v>0</v>
      </c>
      <c r="CM42" s="191">
        <f t="shared" si="362"/>
        <v>0</v>
      </c>
      <c r="CN42" s="191">
        <f t="shared" si="363"/>
        <v>0</v>
      </c>
      <c r="CO42" s="191">
        <f t="shared" si="364"/>
        <v>0</v>
      </c>
      <c r="CP42" s="191">
        <f t="shared" si="292"/>
        <v>0</v>
      </c>
      <c r="CQ42" s="191">
        <f t="shared" si="365"/>
        <v>0</v>
      </c>
      <c r="CW42" s="191">
        <f t="shared" si="366"/>
        <v>0</v>
      </c>
      <c r="CX42" s="191">
        <f t="shared" si="367"/>
        <v>0</v>
      </c>
      <c r="CY42" s="191">
        <f t="shared" si="368"/>
        <v>0</v>
      </c>
      <c r="CZ42" s="191">
        <f t="shared" si="369"/>
        <v>0</v>
      </c>
      <c r="DA42" s="191">
        <f t="shared" si="298"/>
        <v>0</v>
      </c>
      <c r="DB42" s="191">
        <f t="shared" si="370"/>
        <v>0</v>
      </c>
      <c r="DC42" s="191">
        <f t="shared" si="371"/>
        <v>0</v>
      </c>
      <c r="DD42" s="191">
        <f t="shared" si="372"/>
        <v>0</v>
      </c>
      <c r="DE42" s="191">
        <f t="shared" si="302"/>
        <v>0</v>
      </c>
      <c r="DF42" s="191">
        <f t="shared" si="373"/>
        <v>0</v>
      </c>
      <c r="DG42" s="191">
        <f t="shared" si="374"/>
        <v>0</v>
      </c>
      <c r="DH42" s="191">
        <f t="shared" si="375"/>
        <v>0</v>
      </c>
      <c r="DI42" s="191">
        <f t="shared" si="376"/>
        <v>0</v>
      </c>
      <c r="DJ42" s="191">
        <f t="shared" si="377"/>
        <v>0</v>
      </c>
      <c r="DK42" s="191">
        <f t="shared" si="378"/>
        <v>0</v>
      </c>
      <c r="DL42" s="191">
        <f t="shared" si="379"/>
        <v>0</v>
      </c>
      <c r="DM42" s="191">
        <f t="shared" si="380"/>
        <v>0</v>
      </c>
      <c r="DN42" s="191">
        <f t="shared" si="381"/>
        <v>0</v>
      </c>
      <c r="DO42" s="191">
        <f t="shared" si="382"/>
        <v>0</v>
      </c>
      <c r="DP42" s="191">
        <f t="shared" si="383"/>
        <v>0</v>
      </c>
      <c r="DQ42" s="259">
        <f>COUNTIFS($B:$B,"ELKINS PARK",$C:$C,"USCRI",$M:$M,AG42)</f>
        <v>0</v>
      </c>
      <c r="DR42" s="191">
        <f t="shared" si="384"/>
        <v>0</v>
      </c>
      <c r="DS42" s="191">
        <f t="shared" si="385"/>
        <v>0</v>
      </c>
      <c r="DT42" s="191">
        <f t="shared" si="386"/>
        <v>0</v>
      </c>
      <c r="DU42" s="191">
        <f t="shared" si="387"/>
        <v>0</v>
      </c>
      <c r="DV42" s="191">
        <f t="shared" si="388"/>
        <v>0</v>
      </c>
      <c r="DW42" s="191">
        <f t="shared" si="389"/>
        <v>0</v>
      </c>
      <c r="DX42" s="191">
        <f t="shared" si="390"/>
        <v>0</v>
      </c>
      <c r="DY42" s="191">
        <f t="shared" si="391"/>
        <v>0</v>
      </c>
      <c r="DZ42" s="191">
        <f t="shared" si="392"/>
        <v>0</v>
      </c>
      <c r="EA42" s="191">
        <f t="shared" si="393"/>
        <v>0</v>
      </c>
      <c r="EB42" s="191">
        <f t="shared" si="394"/>
        <v>0</v>
      </c>
      <c r="EC42" s="263">
        <f t="shared" si="325"/>
        <v>0</v>
      </c>
      <c r="ED42" s="191">
        <f t="shared" si="395"/>
        <v>0</v>
      </c>
      <c r="EE42" s="191">
        <f t="shared" si="396"/>
        <v>0</v>
      </c>
      <c r="EF42" s="191">
        <f t="shared" si="397"/>
        <v>0</v>
      </c>
      <c r="EG42" s="191">
        <f t="shared" si="398"/>
        <v>0</v>
      </c>
      <c r="EH42" s="191">
        <f t="shared" si="399"/>
        <v>0</v>
      </c>
      <c r="EI42" s="191">
        <f t="shared" si="400"/>
        <v>0</v>
      </c>
      <c r="EJ42" s="259">
        <f t="shared" si="114"/>
        <v>0</v>
      </c>
      <c r="EK42" s="191">
        <f t="shared" si="401"/>
        <v>0</v>
      </c>
      <c r="EL42" s="191">
        <f t="shared" si="402"/>
        <v>0</v>
      </c>
      <c r="EM42" s="259">
        <f>COUNTIFS($B:$B,"GLENOLDEN",$C:$C,"USCCB",$M:$M,AG42)</f>
        <v>0</v>
      </c>
      <c r="EN42" s="259">
        <f t="shared" si="403"/>
        <v>0</v>
      </c>
      <c r="EO42" s="259">
        <f t="shared" si="332"/>
        <v>0</v>
      </c>
      <c r="EQ42" s="191">
        <f t="shared" si="404"/>
        <v>0</v>
      </c>
      <c r="ER42" s="191">
        <f t="shared" si="405"/>
        <v>0</v>
      </c>
      <c r="ES42" s="191">
        <f t="shared" si="406"/>
        <v>0</v>
      </c>
      <c r="ET42" s="191">
        <f t="shared" si="407"/>
        <v>0</v>
      </c>
      <c r="EU42" s="191">
        <f t="shared" si="408"/>
        <v>0</v>
      </c>
      <c r="EV42" s="191">
        <f t="shared" si="409"/>
        <v>0</v>
      </c>
      <c r="EW42" s="191">
        <f t="shared" si="410"/>
        <v>0</v>
      </c>
      <c r="EX42" s="191">
        <f t="shared" si="411"/>
        <v>0</v>
      </c>
      <c r="EY42" s="191">
        <f t="shared" si="333"/>
        <v>0</v>
      </c>
      <c r="EZ42" s="191">
        <f t="shared" si="412"/>
        <v>0</v>
      </c>
      <c r="FF42" s="191">
        <f t="shared" si="413"/>
        <v>0</v>
      </c>
      <c r="FG42" s="191">
        <f t="shared" si="414"/>
        <v>0</v>
      </c>
      <c r="FH42" s="191">
        <f t="shared" si="415"/>
        <v>0</v>
      </c>
      <c r="FI42" s="191">
        <f t="shared" si="334"/>
        <v>0</v>
      </c>
      <c r="FL42" s="159" t="s">
        <v>205</v>
      </c>
      <c r="FM42" s="160" t="s">
        <v>206</v>
      </c>
    </row>
    <row r="43" spans="1:169" ht="15.75" customHeight="1" thickBot="1" x14ac:dyDescent="0.3">
      <c r="A43" s="304">
        <v>41</v>
      </c>
      <c r="B43" s="299" t="s">
        <v>6</v>
      </c>
      <c r="C43" s="300" t="s">
        <v>3</v>
      </c>
      <c r="D43" s="299"/>
      <c r="E43" s="301"/>
      <c r="F43" s="301"/>
      <c r="G43" s="301"/>
      <c r="H43" s="299"/>
      <c r="I43" s="299"/>
      <c r="J43" s="299"/>
      <c r="K43" s="301"/>
      <c r="L43" s="302"/>
      <c r="M43" s="301" t="s">
        <v>150</v>
      </c>
      <c r="N43" s="303"/>
      <c r="O43" s="302">
        <v>42992</v>
      </c>
      <c r="P43" s="259"/>
      <c r="Q43" s="397" t="b">
        <f>VARA(R41,AF66,AH66,AI67,Z66,Y219)=0</f>
        <v>1</v>
      </c>
      <c r="R43" s="398"/>
      <c r="S43" s="317"/>
      <c r="T43" s="316"/>
      <c r="U43" s="316"/>
      <c r="X43" s="83" t="s">
        <v>99</v>
      </c>
      <c r="Y43" s="97">
        <f>COUNTIFS($B:$B,"EAST MILLSBORO",$C:$C,"USCRI")</f>
        <v>0</v>
      </c>
      <c r="Z43" s="135">
        <f>SUM(AI45:AK45,AM45:AN45,AP45:AU45,AW45:BC45)</f>
        <v>0</v>
      </c>
      <c r="AA43" s="135">
        <f>SUM(BI45:CD45,CF45:CO45,CQ45)</f>
        <v>0</v>
      </c>
      <c r="AB43" s="135">
        <f t="shared" si="78"/>
        <v>0</v>
      </c>
      <c r="AC43" s="135">
        <f>SUM(EQ45:EX45,EZ45)</f>
        <v>1</v>
      </c>
      <c r="AD43" s="135">
        <f>SUM(FF45:FH45)</f>
        <v>0</v>
      </c>
      <c r="AF43" s="159" t="s">
        <v>207</v>
      </c>
      <c r="AG43" s="160" t="s">
        <v>208</v>
      </c>
      <c r="AH43" s="114">
        <f>SUM(AI43:AK43,AM43:AN43,AP43:AU43,AW43:BC43,BI43:CD43,CF43:CO43,CQ43,CW43:CZ43,DB43:DD43,DF43:EH43,EK43,EL43:EN43,EQ43:EX43,EZ43,FF43:FH43)</f>
        <v>0</v>
      </c>
      <c r="AI43" s="191">
        <f t="shared" si="237"/>
        <v>0</v>
      </c>
      <c r="AJ43" s="191">
        <f t="shared" si="238"/>
        <v>0</v>
      </c>
      <c r="AK43" s="191">
        <f t="shared" si="239"/>
        <v>0</v>
      </c>
      <c r="AL43" s="136">
        <f t="shared" si="240"/>
        <v>0</v>
      </c>
      <c r="AM43" s="191">
        <f t="shared" si="241"/>
        <v>0</v>
      </c>
      <c r="AN43" s="191">
        <f t="shared" si="242"/>
        <v>0</v>
      </c>
      <c r="AO43" s="191">
        <f t="shared" si="243"/>
        <v>0</v>
      </c>
      <c r="AP43" s="191">
        <f t="shared" si="244"/>
        <v>0</v>
      </c>
      <c r="AQ43" s="191">
        <f t="shared" si="245"/>
        <v>0</v>
      </c>
      <c r="AR43" s="191">
        <f t="shared" si="246"/>
        <v>0</v>
      </c>
      <c r="AS43" s="259">
        <f t="shared" si="247"/>
        <v>0</v>
      </c>
      <c r="AT43" s="191">
        <f t="shared" si="248"/>
        <v>0</v>
      </c>
      <c r="AU43" s="191">
        <f t="shared" si="249"/>
        <v>0</v>
      </c>
      <c r="AV43" s="191">
        <f t="shared" si="250"/>
        <v>0</v>
      </c>
      <c r="AW43" s="191">
        <f t="shared" si="251"/>
        <v>0</v>
      </c>
      <c r="AX43" s="191">
        <f t="shared" si="252"/>
        <v>0</v>
      </c>
      <c r="AY43" s="191">
        <f t="shared" si="253"/>
        <v>0</v>
      </c>
      <c r="AZ43" s="191">
        <f t="shared" si="254"/>
        <v>0</v>
      </c>
      <c r="BA43" s="191">
        <f t="shared" si="255"/>
        <v>0</v>
      </c>
      <c r="BB43" s="191">
        <f t="shared" si="256"/>
        <v>0</v>
      </c>
      <c r="BC43" s="263">
        <f t="shared" si="257"/>
        <v>0</v>
      </c>
      <c r="BD43" s="259">
        <f t="shared" si="258"/>
        <v>0</v>
      </c>
      <c r="BI43" s="191">
        <f t="shared" si="335"/>
        <v>0</v>
      </c>
      <c r="BJ43" s="191">
        <f t="shared" si="336"/>
        <v>0</v>
      </c>
      <c r="BK43" s="191">
        <f t="shared" si="337"/>
        <v>0</v>
      </c>
      <c r="BL43" s="191">
        <f t="shared" si="338"/>
        <v>0</v>
      </c>
      <c r="BM43" s="191">
        <f t="shared" si="339"/>
        <v>0</v>
      </c>
      <c r="BN43" s="191">
        <f t="shared" si="340"/>
        <v>0</v>
      </c>
      <c r="BO43" s="259">
        <f t="shared" si="265"/>
        <v>0</v>
      </c>
      <c r="BP43" s="191">
        <f t="shared" si="341"/>
        <v>0</v>
      </c>
      <c r="BQ43" s="191">
        <f t="shared" si="342"/>
        <v>0</v>
      </c>
      <c r="BR43" s="259">
        <f t="shared" si="268"/>
        <v>0</v>
      </c>
      <c r="BS43" s="191">
        <f t="shared" si="343"/>
        <v>0</v>
      </c>
      <c r="BT43" s="191">
        <f t="shared" si="344"/>
        <v>0</v>
      </c>
      <c r="BU43" s="191">
        <f t="shared" si="345"/>
        <v>0</v>
      </c>
      <c r="BV43" s="259">
        <f t="shared" si="346"/>
        <v>0</v>
      </c>
      <c r="BW43" s="191">
        <f t="shared" si="347"/>
        <v>0</v>
      </c>
      <c r="BX43" s="191">
        <f t="shared" si="348"/>
        <v>0</v>
      </c>
      <c r="BY43" s="191">
        <f t="shared" si="349"/>
        <v>0</v>
      </c>
      <c r="BZ43" s="191">
        <f t="shared" si="350"/>
        <v>0</v>
      </c>
      <c r="CA43" s="191">
        <f t="shared" si="351"/>
        <v>0</v>
      </c>
      <c r="CB43" s="191">
        <f t="shared" si="352"/>
        <v>0</v>
      </c>
      <c r="CC43" s="191">
        <f t="shared" si="353"/>
        <v>0</v>
      </c>
      <c r="CD43" s="191">
        <f t="shared" si="354"/>
        <v>0</v>
      </c>
      <c r="CE43" s="191">
        <f t="shared" si="281"/>
        <v>0</v>
      </c>
      <c r="CF43" s="191">
        <f t="shared" si="355"/>
        <v>0</v>
      </c>
      <c r="CG43" s="191">
        <f t="shared" si="356"/>
        <v>0</v>
      </c>
      <c r="CH43" s="191">
        <f t="shared" si="357"/>
        <v>0</v>
      </c>
      <c r="CI43" s="191">
        <f t="shared" si="358"/>
        <v>0</v>
      </c>
      <c r="CJ43" s="191">
        <f t="shared" si="359"/>
        <v>0</v>
      </c>
      <c r="CK43" s="191">
        <f t="shared" si="360"/>
        <v>0</v>
      </c>
      <c r="CL43" s="191">
        <f t="shared" si="361"/>
        <v>0</v>
      </c>
      <c r="CM43" s="191">
        <f t="shared" si="362"/>
        <v>0</v>
      </c>
      <c r="CN43" s="191">
        <f t="shared" si="363"/>
        <v>0</v>
      </c>
      <c r="CO43" s="191">
        <f t="shared" si="364"/>
        <v>0</v>
      </c>
      <c r="CP43" s="191">
        <f t="shared" si="292"/>
        <v>0</v>
      </c>
      <c r="CQ43" s="191">
        <f t="shared" si="365"/>
        <v>0</v>
      </c>
      <c r="CW43" s="191">
        <f t="shared" si="366"/>
        <v>0</v>
      </c>
      <c r="CX43" s="191">
        <f t="shared" si="367"/>
        <v>0</v>
      </c>
      <c r="CY43" s="191">
        <f t="shared" si="368"/>
        <v>0</v>
      </c>
      <c r="CZ43" s="191">
        <f t="shared" si="369"/>
        <v>0</v>
      </c>
      <c r="DA43" s="191">
        <f t="shared" si="298"/>
        <v>0</v>
      </c>
      <c r="DB43" s="191">
        <f t="shared" si="370"/>
        <v>0</v>
      </c>
      <c r="DC43" s="191">
        <f t="shared" si="371"/>
        <v>0</v>
      </c>
      <c r="DD43" s="191">
        <f t="shared" si="372"/>
        <v>0</v>
      </c>
      <c r="DE43" s="191">
        <f t="shared" si="302"/>
        <v>0</v>
      </c>
      <c r="DF43" s="191">
        <f t="shared" si="373"/>
        <v>0</v>
      </c>
      <c r="DG43" s="191">
        <f t="shared" si="374"/>
        <v>0</v>
      </c>
      <c r="DH43" s="191">
        <f t="shared" si="375"/>
        <v>0</v>
      </c>
      <c r="DI43" s="191">
        <f t="shared" si="376"/>
        <v>0</v>
      </c>
      <c r="DJ43" s="191">
        <f t="shared" si="377"/>
        <v>0</v>
      </c>
      <c r="DK43" s="191">
        <f t="shared" si="378"/>
        <v>0</v>
      </c>
      <c r="DL43" s="191">
        <f t="shared" si="379"/>
        <v>0</v>
      </c>
      <c r="DM43" s="191">
        <f t="shared" si="380"/>
        <v>0</v>
      </c>
      <c r="DN43" s="191">
        <f t="shared" si="381"/>
        <v>0</v>
      </c>
      <c r="DO43" s="191">
        <f t="shared" si="382"/>
        <v>0</v>
      </c>
      <c r="DP43" s="191">
        <f t="shared" si="383"/>
        <v>0</v>
      </c>
      <c r="DQ43" s="259">
        <f>COUNTIFS($B:$B,"ELKINS PARK",$C:$C,"USCRI",$M:$M,AG43)</f>
        <v>0</v>
      </c>
      <c r="DR43" s="191">
        <f t="shared" si="384"/>
        <v>0</v>
      </c>
      <c r="DS43" s="191">
        <f t="shared" si="385"/>
        <v>0</v>
      </c>
      <c r="DT43" s="191">
        <f t="shared" si="386"/>
        <v>0</v>
      </c>
      <c r="DU43" s="191">
        <f t="shared" si="387"/>
        <v>0</v>
      </c>
      <c r="DV43" s="191">
        <f t="shared" si="388"/>
        <v>0</v>
      </c>
      <c r="DW43" s="191">
        <f t="shared" si="389"/>
        <v>0</v>
      </c>
      <c r="DX43" s="191">
        <f t="shared" si="390"/>
        <v>0</v>
      </c>
      <c r="DY43" s="191">
        <f t="shared" si="391"/>
        <v>0</v>
      </c>
      <c r="DZ43" s="191">
        <f t="shared" si="392"/>
        <v>0</v>
      </c>
      <c r="EA43" s="191">
        <f t="shared" si="393"/>
        <v>0</v>
      </c>
      <c r="EB43" s="191">
        <f t="shared" si="394"/>
        <v>0</v>
      </c>
      <c r="EC43" s="263">
        <f t="shared" si="325"/>
        <v>0</v>
      </c>
      <c r="ED43" s="191">
        <f t="shared" si="395"/>
        <v>0</v>
      </c>
      <c r="EE43" s="191">
        <f t="shared" si="396"/>
        <v>0</v>
      </c>
      <c r="EF43" s="191">
        <f t="shared" si="397"/>
        <v>0</v>
      </c>
      <c r="EG43" s="191">
        <f t="shared" si="398"/>
        <v>0</v>
      </c>
      <c r="EH43" s="191">
        <f t="shared" si="399"/>
        <v>0</v>
      </c>
      <c r="EI43" s="191">
        <f t="shared" si="400"/>
        <v>0</v>
      </c>
      <c r="EJ43" s="259">
        <f t="shared" si="114"/>
        <v>0</v>
      </c>
      <c r="EK43" s="191">
        <f t="shared" si="401"/>
        <v>0</v>
      </c>
      <c r="EL43" s="191">
        <f t="shared" si="402"/>
        <v>0</v>
      </c>
      <c r="EM43" s="259">
        <f>COUNTIFS($B:$B,"GLENOLDEN",$C:$C,"USCCB",$M:$M,AG43)</f>
        <v>0</v>
      </c>
      <c r="EN43" s="259">
        <f t="shared" si="403"/>
        <v>0</v>
      </c>
      <c r="EO43" s="259">
        <f t="shared" si="332"/>
        <v>0</v>
      </c>
      <c r="EQ43" s="191">
        <f t="shared" si="404"/>
        <v>0</v>
      </c>
      <c r="ER43" s="191">
        <f t="shared" si="405"/>
        <v>0</v>
      </c>
      <c r="ES43" s="191">
        <f t="shared" si="406"/>
        <v>0</v>
      </c>
      <c r="ET43" s="191">
        <f t="shared" si="407"/>
        <v>0</v>
      </c>
      <c r="EU43" s="191">
        <f t="shared" si="408"/>
        <v>0</v>
      </c>
      <c r="EV43" s="191">
        <f t="shared" si="409"/>
        <v>0</v>
      </c>
      <c r="EW43" s="191">
        <f t="shared" si="410"/>
        <v>0</v>
      </c>
      <c r="EX43" s="191">
        <f t="shared" si="411"/>
        <v>0</v>
      </c>
      <c r="EY43" s="191">
        <f t="shared" si="333"/>
        <v>0</v>
      </c>
      <c r="EZ43" s="191">
        <f t="shared" si="412"/>
        <v>0</v>
      </c>
      <c r="FF43" s="191">
        <f t="shared" si="413"/>
        <v>0</v>
      </c>
      <c r="FG43" s="191">
        <f t="shared" si="414"/>
        <v>0</v>
      </c>
      <c r="FH43" s="191">
        <f t="shared" si="415"/>
        <v>0</v>
      </c>
      <c r="FI43" s="191">
        <f t="shared" si="334"/>
        <v>0</v>
      </c>
      <c r="FL43" s="159" t="s">
        <v>207</v>
      </c>
      <c r="FM43" s="160" t="s">
        <v>208</v>
      </c>
    </row>
    <row r="44" spans="1:169" ht="15.75" customHeight="1" thickBot="1" x14ac:dyDescent="0.3">
      <c r="A44" s="304">
        <v>42</v>
      </c>
      <c r="B44" s="299" t="s">
        <v>6</v>
      </c>
      <c r="C44" s="300" t="s">
        <v>3</v>
      </c>
      <c r="D44" s="299"/>
      <c r="E44" s="301"/>
      <c r="F44" s="301"/>
      <c r="G44" s="301"/>
      <c r="H44" s="299"/>
      <c r="I44" s="299"/>
      <c r="J44" s="299"/>
      <c r="K44" s="301"/>
      <c r="L44" s="302"/>
      <c r="M44" s="301" t="s">
        <v>150</v>
      </c>
      <c r="N44" s="303"/>
      <c r="O44" s="302">
        <v>42992</v>
      </c>
      <c r="P44" s="259"/>
      <c r="Q44" s="399"/>
      <c r="R44" s="400"/>
      <c r="S44" s="317"/>
      <c r="T44" s="316"/>
      <c r="U44" s="316"/>
      <c r="X44" s="83" t="s">
        <v>120</v>
      </c>
      <c r="Y44" s="97">
        <f>COUNTIFS($B:$B,"ETNA",$C:$C,"USCRI")</f>
        <v>0</v>
      </c>
      <c r="Z44" s="135">
        <f>SUM(AI46:AK46,AM46:AN46,AP46:AU46,AW46:BC46)</f>
        <v>0</v>
      </c>
      <c r="AA44" s="135">
        <f>SUM(BI46:CD46,CF46:CO46,CQ46)</f>
        <v>0</v>
      </c>
      <c r="AB44" s="135">
        <f t="shared" si="78"/>
        <v>0</v>
      </c>
      <c r="AC44" s="135">
        <f>SUM(EQ46:EX46,EZ46)</f>
        <v>0</v>
      </c>
      <c r="AD44" s="135">
        <f>SUM(FF46:FH46)</f>
        <v>0</v>
      </c>
      <c r="AF44" s="159" t="s">
        <v>209</v>
      </c>
      <c r="AG44" s="160" t="s">
        <v>210</v>
      </c>
      <c r="AH44" s="114">
        <f>SUM(AI44:AK44,AM44:AN44,AP44:AU44,AW44:BC44,BI44:CD44,CF44:CO44,CQ44,CW44:CZ44,DB44:DD44,DF44:EH44,EK44,EL44:EN44,EQ44:EX44,EZ44,FF44:FH44)</f>
        <v>0</v>
      </c>
      <c r="AI44" s="191">
        <f t="shared" si="237"/>
        <v>0</v>
      </c>
      <c r="AJ44" s="191">
        <f t="shared" si="238"/>
        <v>0</v>
      </c>
      <c r="AK44" s="191">
        <f t="shared" si="239"/>
        <v>0</v>
      </c>
      <c r="AL44" s="136">
        <f t="shared" si="240"/>
        <v>0</v>
      </c>
      <c r="AM44" s="191">
        <f t="shared" si="241"/>
        <v>0</v>
      </c>
      <c r="AN44" s="191">
        <f t="shared" si="242"/>
        <v>0</v>
      </c>
      <c r="AO44" s="191">
        <f t="shared" si="243"/>
        <v>0</v>
      </c>
      <c r="AP44" s="191">
        <f t="shared" si="244"/>
        <v>0</v>
      </c>
      <c r="AQ44" s="191">
        <f t="shared" si="245"/>
        <v>0</v>
      </c>
      <c r="AR44" s="191">
        <f t="shared" si="246"/>
        <v>0</v>
      </c>
      <c r="AS44" s="259">
        <f t="shared" si="247"/>
        <v>0</v>
      </c>
      <c r="AT44" s="191">
        <f t="shared" si="248"/>
        <v>0</v>
      </c>
      <c r="AU44" s="191">
        <f t="shared" si="249"/>
        <v>0</v>
      </c>
      <c r="AV44" s="191">
        <f t="shared" si="250"/>
        <v>0</v>
      </c>
      <c r="AW44" s="191">
        <f t="shared" si="251"/>
        <v>0</v>
      </c>
      <c r="AX44" s="191">
        <f t="shared" si="252"/>
        <v>0</v>
      </c>
      <c r="AY44" s="191">
        <f t="shared" si="253"/>
        <v>0</v>
      </c>
      <c r="AZ44" s="191">
        <f t="shared" si="254"/>
        <v>0</v>
      </c>
      <c r="BA44" s="191">
        <f t="shared" si="255"/>
        <v>0</v>
      </c>
      <c r="BB44" s="191">
        <f t="shared" si="256"/>
        <v>0</v>
      </c>
      <c r="BC44" s="263">
        <f t="shared" si="257"/>
        <v>0</v>
      </c>
      <c r="BD44" s="259">
        <f t="shared" si="258"/>
        <v>0</v>
      </c>
      <c r="BI44" s="191">
        <f t="shared" si="335"/>
        <v>0</v>
      </c>
      <c r="BJ44" s="191">
        <f t="shared" si="336"/>
        <v>0</v>
      </c>
      <c r="BK44" s="191">
        <f t="shared" si="337"/>
        <v>0</v>
      </c>
      <c r="BL44" s="191">
        <f t="shared" si="338"/>
        <v>0</v>
      </c>
      <c r="BM44" s="191">
        <f t="shared" si="339"/>
        <v>0</v>
      </c>
      <c r="BN44" s="191">
        <f t="shared" si="340"/>
        <v>0</v>
      </c>
      <c r="BO44" s="259">
        <f t="shared" si="265"/>
        <v>0</v>
      </c>
      <c r="BP44" s="191">
        <f t="shared" si="341"/>
        <v>0</v>
      </c>
      <c r="BQ44" s="191">
        <f t="shared" si="342"/>
        <v>0</v>
      </c>
      <c r="BR44" s="259">
        <f t="shared" si="268"/>
        <v>0</v>
      </c>
      <c r="BS44" s="191">
        <f t="shared" si="343"/>
        <v>0</v>
      </c>
      <c r="BT44" s="191">
        <f t="shared" si="344"/>
        <v>0</v>
      </c>
      <c r="BU44" s="191">
        <f t="shared" si="345"/>
        <v>0</v>
      </c>
      <c r="BV44" s="259">
        <f t="shared" si="346"/>
        <v>0</v>
      </c>
      <c r="BW44" s="191">
        <f t="shared" si="347"/>
        <v>0</v>
      </c>
      <c r="BX44" s="191">
        <f t="shared" si="348"/>
        <v>0</v>
      </c>
      <c r="BY44" s="191">
        <f t="shared" si="349"/>
        <v>0</v>
      </c>
      <c r="BZ44" s="191">
        <f t="shared" si="350"/>
        <v>0</v>
      </c>
      <c r="CA44" s="191">
        <f t="shared" si="351"/>
        <v>0</v>
      </c>
      <c r="CB44" s="191">
        <f t="shared" si="352"/>
        <v>0</v>
      </c>
      <c r="CC44" s="191">
        <f t="shared" si="353"/>
        <v>0</v>
      </c>
      <c r="CD44" s="191">
        <f t="shared" si="354"/>
        <v>0</v>
      </c>
      <c r="CE44" s="191">
        <f t="shared" si="281"/>
        <v>0</v>
      </c>
      <c r="CF44" s="191">
        <f t="shared" si="355"/>
        <v>0</v>
      </c>
      <c r="CG44" s="191">
        <f t="shared" si="356"/>
        <v>0</v>
      </c>
      <c r="CH44" s="191">
        <f t="shared" si="357"/>
        <v>0</v>
      </c>
      <c r="CI44" s="191">
        <f t="shared" si="358"/>
        <v>0</v>
      </c>
      <c r="CJ44" s="191">
        <f t="shared" si="359"/>
        <v>0</v>
      </c>
      <c r="CK44" s="191">
        <f t="shared" si="360"/>
        <v>0</v>
      </c>
      <c r="CL44" s="191">
        <f t="shared" si="361"/>
        <v>0</v>
      </c>
      <c r="CM44" s="191">
        <f t="shared" si="362"/>
        <v>0</v>
      </c>
      <c r="CN44" s="191">
        <f t="shared" si="363"/>
        <v>0</v>
      </c>
      <c r="CO44" s="191">
        <f t="shared" si="364"/>
        <v>0</v>
      </c>
      <c r="CP44" s="191">
        <f t="shared" si="292"/>
        <v>0</v>
      </c>
      <c r="CQ44" s="191">
        <f t="shared" si="365"/>
        <v>0</v>
      </c>
      <c r="CW44" s="191">
        <f t="shared" si="366"/>
        <v>0</v>
      </c>
      <c r="CX44" s="191">
        <f t="shared" si="367"/>
        <v>0</v>
      </c>
      <c r="CY44" s="191">
        <f t="shared" si="368"/>
        <v>0</v>
      </c>
      <c r="CZ44" s="191">
        <f t="shared" si="369"/>
        <v>0</v>
      </c>
      <c r="DA44" s="191">
        <f t="shared" si="298"/>
        <v>0</v>
      </c>
      <c r="DB44" s="191">
        <f t="shared" si="370"/>
        <v>0</v>
      </c>
      <c r="DC44" s="191">
        <f t="shared" si="371"/>
        <v>0</v>
      </c>
      <c r="DD44" s="191">
        <f t="shared" si="372"/>
        <v>0</v>
      </c>
      <c r="DE44" s="191">
        <f t="shared" si="302"/>
        <v>0</v>
      </c>
      <c r="DF44" s="191">
        <f t="shared" si="373"/>
        <v>0</v>
      </c>
      <c r="DG44" s="191">
        <f t="shared" si="374"/>
        <v>0</v>
      </c>
      <c r="DH44" s="191">
        <f t="shared" si="375"/>
        <v>0</v>
      </c>
      <c r="DI44" s="191">
        <f t="shared" si="376"/>
        <v>0</v>
      </c>
      <c r="DJ44" s="191">
        <f t="shared" si="377"/>
        <v>0</v>
      </c>
      <c r="DK44" s="191">
        <f t="shared" si="378"/>
        <v>0</v>
      </c>
      <c r="DL44" s="191">
        <f t="shared" si="379"/>
        <v>0</v>
      </c>
      <c r="DM44" s="191">
        <f t="shared" si="380"/>
        <v>0</v>
      </c>
      <c r="DN44" s="191">
        <f t="shared" si="381"/>
        <v>0</v>
      </c>
      <c r="DO44" s="191">
        <f t="shared" si="382"/>
        <v>0</v>
      </c>
      <c r="DP44" s="191">
        <f t="shared" si="383"/>
        <v>0</v>
      </c>
      <c r="DQ44" s="259">
        <f>COUNTIFS($B:$B,"ELKINS PARK",$C:$C,"USCRI",$M:$M,AG44)</f>
        <v>0</v>
      </c>
      <c r="DR44" s="191">
        <f t="shared" si="384"/>
        <v>0</v>
      </c>
      <c r="DS44" s="191">
        <f t="shared" si="385"/>
        <v>0</v>
      </c>
      <c r="DT44" s="191">
        <f t="shared" si="386"/>
        <v>0</v>
      </c>
      <c r="DU44" s="191">
        <f t="shared" si="387"/>
        <v>0</v>
      </c>
      <c r="DV44" s="191">
        <f t="shared" si="388"/>
        <v>0</v>
      </c>
      <c r="DW44" s="191">
        <f t="shared" si="389"/>
        <v>0</v>
      </c>
      <c r="DX44" s="191">
        <f t="shared" si="390"/>
        <v>0</v>
      </c>
      <c r="DY44" s="191">
        <f t="shared" si="391"/>
        <v>0</v>
      </c>
      <c r="DZ44" s="191">
        <f t="shared" si="392"/>
        <v>0</v>
      </c>
      <c r="EA44" s="191">
        <f t="shared" si="393"/>
        <v>0</v>
      </c>
      <c r="EB44" s="191">
        <f t="shared" si="394"/>
        <v>0</v>
      </c>
      <c r="EC44" s="263">
        <f t="shared" si="325"/>
        <v>0</v>
      </c>
      <c r="ED44" s="191">
        <f t="shared" si="395"/>
        <v>0</v>
      </c>
      <c r="EE44" s="191">
        <f t="shared" si="396"/>
        <v>0</v>
      </c>
      <c r="EF44" s="191">
        <f t="shared" si="397"/>
        <v>0</v>
      </c>
      <c r="EG44" s="191">
        <f t="shared" si="398"/>
        <v>0</v>
      </c>
      <c r="EH44" s="191">
        <f t="shared" si="399"/>
        <v>0</v>
      </c>
      <c r="EI44" s="191">
        <f t="shared" si="400"/>
        <v>0</v>
      </c>
      <c r="EJ44" s="259">
        <f t="shared" si="114"/>
        <v>0</v>
      </c>
      <c r="EK44" s="191">
        <f t="shared" si="401"/>
        <v>0</v>
      </c>
      <c r="EL44" s="191">
        <f t="shared" si="402"/>
        <v>0</v>
      </c>
      <c r="EM44" s="259">
        <f>COUNTIFS($B:$B,"GLENOLDEN",$C:$C,"USCCB",$M:$M,AG44)</f>
        <v>0</v>
      </c>
      <c r="EN44" s="259">
        <f t="shared" si="403"/>
        <v>0</v>
      </c>
      <c r="EO44" s="259">
        <f t="shared" si="332"/>
        <v>0</v>
      </c>
      <c r="EQ44" s="191">
        <f t="shared" si="404"/>
        <v>0</v>
      </c>
      <c r="ER44" s="191">
        <f t="shared" si="405"/>
        <v>0</v>
      </c>
      <c r="ES44" s="191">
        <f t="shared" si="406"/>
        <v>0</v>
      </c>
      <c r="ET44" s="191">
        <f t="shared" si="407"/>
        <v>0</v>
      </c>
      <c r="EU44" s="191">
        <f t="shared" si="408"/>
        <v>0</v>
      </c>
      <c r="EV44" s="191">
        <f t="shared" si="409"/>
        <v>0</v>
      </c>
      <c r="EW44" s="191">
        <f t="shared" si="410"/>
        <v>0</v>
      </c>
      <c r="EX44" s="191">
        <f t="shared" si="411"/>
        <v>0</v>
      </c>
      <c r="EY44" s="191">
        <f t="shared" si="333"/>
        <v>0</v>
      </c>
      <c r="EZ44" s="191">
        <f t="shared" si="412"/>
        <v>0</v>
      </c>
      <c r="FF44" s="191">
        <f t="shared" si="413"/>
        <v>0</v>
      </c>
      <c r="FG44" s="191">
        <f t="shared" si="414"/>
        <v>0</v>
      </c>
      <c r="FH44" s="191">
        <f t="shared" si="415"/>
        <v>0</v>
      </c>
      <c r="FI44" s="191">
        <f t="shared" si="334"/>
        <v>0</v>
      </c>
      <c r="FL44" s="159" t="s">
        <v>209</v>
      </c>
      <c r="FM44" s="160" t="s">
        <v>210</v>
      </c>
    </row>
    <row r="45" spans="1:169" ht="15.75" customHeight="1" thickBot="1" x14ac:dyDescent="0.3">
      <c r="A45" s="304">
        <v>43</v>
      </c>
      <c r="B45" s="299" t="s">
        <v>6</v>
      </c>
      <c r="C45" s="300" t="s">
        <v>3</v>
      </c>
      <c r="D45" s="299"/>
      <c r="E45" s="301"/>
      <c r="F45" s="301"/>
      <c r="G45" s="301"/>
      <c r="H45" s="299"/>
      <c r="I45" s="299"/>
      <c r="J45" s="299"/>
      <c r="K45" s="301"/>
      <c r="L45" s="302"/>
      <c r="M45" s="301" t="s">
        <v>150</v>
      </c>
      <c r="N45" s="303"/>
      <c r="O45" s="302">
        <v>42992</v>
      </c>
      <c r="P45" s="259"/>
      <c r="Q45" s="399"/>
      <c r="R45" s="400"/>
      <c r="S45" s="317"/>
      <c r="T45" s="316"/>
      <c r="U45" s="316"/>
      <c r="X45" s="83" t="s">
        <v>12</v>
      </c>
      <c r="Y45" s="97">
        <f>COUNTIFS($B:$B,"PITTSBURGH",$C:$C,"USCRI")</f>
        <v>13</v>
      </c>
      <c r="Z45" s="135">
        <f>SUM(AI47:AK47,AM47:AN47,AP47:AU47,AW47:BC47)</f>
        <v>0</v>
      </c>
      <c r="AA45" s="135">
        <f>SUM(BI47:CD47,CF47:CO47,CQ47)</f>
        <v>0</v>
      </c>
      <c r="AB45" s="135">
        <f t="shared" si="78"/>
        <v>1</v>
      </c>
      <c r="AC45" s="135">
        <f>SUM(EQ47:EX47,EZ47)</f>
        <v>0</v>
      </c>
      <c r="AD45" s="135">
        <f>SUM(FF47:FH47)</f>
        <v>0</v>
      </c>
      <c r="AF45" s="159" t="s">
        <v>211</v>
      </c>
      <c r="AG45" s="160" t="s">
        <v>212</v>
      </c>
      <c r="AH45" s="114">
        <f>SUM(AI45:AK45,AM45:AN45,AP45:AU45,AW45:BC45,BI45:CD45,CF45:CO45,CQ45,CW45:CZ45,DB45:DD45,DF45:EH45,EK45,EL45:EN45,EQ45:EX45,EZ45,FF45:FH45)</f>
        <v>2</v>
      </c>
      <c r="AI45" s="191">
        <f t="shared" si="237"/>
        <v>0</v>
      </c>
      <c r="AJ45" s="191">
        <f t="shared" si="238"/>
        <v>0</v>
      </c>
      <c r="AK45" s="191">
        <f t="shared" si="239"/>
        <v>0</v>
      </c>
      <c r="AL45" s="136">
        <f t="shared" si="240"/>
        <v>0</v>
      </c>
      <c r="AM45" s="191">
        <f t="shared" si="241"/>
        <v>0</v>
      </c>
      <c r="AN45" s="191">
        <f t="shared" si="242"/>
        <v>0</v>
      </c>
      <c r="AO45" s="191">
        <f t="shared" si="243"/>
        <v>0</v>
      </c>
      <c r="AP45" s="191">
        <f t="shared" si="244"/>
        <v>0</v>
      </c>
      <c r="AQ45" s="191">
        <f t="shared" si="245"/>
        <v>0</v>
      </c>
      <c r="AR45" s="191">
        <f t="shared" si="246"/>
        <v>0</v>
      </c>
      <c r="AS45" s="259">
        <f t="shared" si="247"/>
        <v>0</v>
      </c>
      <c r="AT45" s="191">
        <f t="shared" si="248"/>
        <v>0</v>
      </c>
      <c r="AU45" s="191">
        <f t="shared" si="249"/>
        <v>0</v>
      </c>
      <c r="AV45" s="191">
        <f t="shared" si="250"/>
        <v>0</v>
      </c>
      <c r="AW45" s="191">
        <f t="shared" si="251"/>
        <v>0</v>
      </c>
      <c r="AX45" s="191">
        <f t="shared" si="252"/>
        <v>0</v>
      </c>
      <c r="AY45" s="191">
        <f t="shared" si="253"/>
        <v>0</v>
      </c>
      <c r="AZ45" s="191">
        <f t="shared" si="254"/>
        <v>0</v>
      </c>
      <c r="BA45" s="191">
        <f t="shared" si="255"/>
        <v>0</v>
      </c>
      <c r="BB45" s="191">
        <f t="shared" si="256"/>
        <v>0</v>
      </c>
      <c r="BC45" s="263">
        <f t="shared" si="257"/>
        <v>0</v>
      </c>
      <c r="BD45" s="259">
        <f t="shared" si="258"/>
        <v>0</v>
      </c>
      <c r="BI45" s="191">
        <f t="shared" si="335"/>
        <v>0</v>
      </c>
      <c r="BJ45" s="191">
        <f t="shared" si="336"/>
        <v>0</v>
      </c>
      <c r="BK45" s="191">
        <f t="shared" si="337"/>
        <v>0</v>
      </c>
      <c r="BL45" s="191">
        <f t="shared" si="338"/>
        <v>0</v>
      </c>
      <c r="BM45" s="191">
        <f t="shared" si="339"/>
        <v>0</v>
      </c>
      <c r="BN45" s="191">
        <f t="shared" si="340"/>
        <v>0</v>
      </c>
      <c r="BO45" s="259">
        <f t="shared" ref="BO45:BO65" si="416">COUNTIFS($B:$B,"ETTERS",$C:$C,"USCCB",$M:$M,AG45)</f>
        <v>0</v>
      </c>
      <c r="BP45" s="191">
        <f t="shared" si="341"/>
        <v>0</v>
      </c>
      <c r="BQ45" s="191">
        <f t="shared" si="342"/>
        <v>0</v>
      </c>
      <c r="BR45" s="259">
        <f t="shared" si="268"/>
        <v>0</v>
      </c>
      <c r="BS45" s="191">
        <f t="shared" si="343"/>
        <v>0</v>
      </c>
      <c r="BT45" s="191">
        <f t="shared" si="344"/>
        <v>0</v>
      </c>
      <c r="BU45" s="191">
        <f t="shared" si="345"/>
        <v>0</v>
      </c>
      <c r="BV45" s="259">
        <f t="shared" si="346"/>
        <v>0</v>
      </c>
      <c r="BW45" s="191">
        <f t="shared" si="347"/>
        <v>0</v>
      </c>
      <c r="BX45" s="191">
        <f t="shared" si="348"/>
        <v>0</v>
      </c>
      <c r="BY45" s="191">
        <f t="shared" si="349"/>
        <v>0</v>
      </c>
      <c r="BZ45" s="191">
        <f t="shared" si="350"/>
        <v>0</v>
      </c>
      <c r="CA45" s="191">
        <f t="shared" si="351"/>
        <v>0</v>
      </c>
      <c r="CB45" s="191">
        <f t="shared" si="352"/>
        <v>0</v>
      </c>
      <c r="CC45" s="191">
        <f t="shared" si="353"/>
        <v>0</v>
      </c>
      <c r="CD45" s="191">
        <f t="shared" si="354"/>
        <v>0</v>
      </c>
      <c r="CE45" s="191">
        <f t="shared" si="281"/>
        <v>0</v>
      </c>
      <c r="CF45" s="191">
        <f t="shared" si="355"/>
        <v>0</v>
      </c>
      <c r="CG45" s="191">
        <f t="shared" si="356"/>
        <v>0</v>
      </c>
      <c r="CH45" s="191">
        <f t="shared" si="357"/>
        <v>0</v>
      </c>
      <c r="CI45" s="191">
        <f t="shared" si="358"/>
        <v>0</v>
      </c>
      <c r="CJ45" s="191">
        <f t="shared" si="359"/>
        <v>0</v>
      </c>
      <c r="CK45" s="191">
        <f t="shared" si="360"/>
        <v>0</v>
      </c>
      <c r="CL45" s="191">
        <f t="shared" si="361"/>
        <v>0</v>
      </c>
      <c r="CM45" s="191">
        <f t="shared" si="362"/>
        <v>0</v>
      </c>
      <c r="CN45" s="191">
        <f t="shared" si="363"/>
        <v>0</v>
      </c>
      <c r="CO45" s="191">
        <f t="shared" si="364"/>
        <v>0</v>
      </c>
      <c r="CP45" s="191">
        <f t="shared" si="292"/>
        <v>0</v>
      </c>
      <c r="CQ45" s="191">
        <f t="shared" si="365"/>
        <v>0</v>
      </c>
      <c r="CW45" s="191">
        <f t="shared" si="366"/>
        <v>1</v>
      </c>
      <c r="CX45" s="191">
        <f t="shared" si="367"/>
        <v>0</v>
      </c>
      <c r="CY45" s="191">
        <f t="shared" si="368"/>
        <v>0</v>
      </c>
      <c r="CZ45" s="191">
        <f t="shared" si="369"/>
        <v>0</v>
      </c>
      <c r="DA45" s="191">
        <f t="shared" si="298"/>
        <v>0</v>
      </c>
      <c r="DB45" s="191">
        <f t="shared" si="370"/>
        <v>0</v>
      </c>
      <c r="DC45" s="191">
        <f t="shared" si="371"/>
        <v>0</v>
      </c>
      <c r="DD45" s="191">
        <f t="shared" si="372"/>
        <v>0</v>
      </c>
      <c r="DE45" s="191">
        <f t="shared" si="302"/>
        <v>0</v>
      </c>
      <c r="DF45" s="191">
        <f t="shared" si="373"/>
        <v>0</v>
      </c>
      <c r="DG45" s="191">
        <f t="shared" si="374"/>
        <v>0</v>
      </c>
      <c r="DH45" s="191">
        <f t="shared" si="375"/>
        <v>0</v>
      </c>
      <c r="DI45" s="191">
        <f t="shared" si="376"/>
        <v>0</v>
      </c>
      <c r="DJ45" s="191">
        <f t="shared" si="377"/>
        <v>0</v>
      </c>
      <c r="DK45" s="191">
        <f t="shared" si="378"/>
        <v>0</v>
      </c>
      <c r="DL45" s="191">
        <f t="shared" si="379"/>
        <v>0</v>
      </c>
      <c r="DM45" s="191">
        <f t="shared" si="380"/>
        <v>0</v>
      </c>
      <c r="DN45" s="191">
        <f t="shared" si="381"/>
        <v>0</v>
      </c>
      <c r="DO45" s="191">
        <f t="shared" si="382"/>
        <v>0</v>
      </c>
      <c r="DP45" s="191">
        <f t="shared" si="383"/>
        <v>0</v>
      </c>
      <c r="DQ45" s="259">
        <f>COUNTIFS($B:$B,"ELKINS PARK",$C:$C,"USCRI",$M:$M,AG45)</f>
        <v>0</v>
      </c>
      <c r="DR45" s="191">
        <f t="shared" si="384"/>
        <v>0</v>
      </c>
      <c r="DS45" s="191">
        <f t="shared" si="385"/>
        <v>0</v>
      </c>
      <c r="DT45" s="191">
        <f t="shared" si="386"/>
        <v>0</v>
      </c>
      <c r="DU45" s="191">
        <f t="shared" si="387"/>
        <v>0</v>
      </c>
      <c r="DV45" s="191">
        <f t="shared" si="388"/>
        <v>0</v>
      </c>
      <c r="DW45" s="191">
        <f t="shared" si="389"/>
        <v>0</v>
      </c>
      <c r="DX45" s="191">
        <f t="shared" si="390"/>
        <v>0</v>
      </c>
      <c r="DY45" s="191">
        <f t="shared" si="391"/>
        <v>0</v>
      </c>
      <c r="DZ45" s="191">
        <f t="shared" si="392"/>
        <v>0</v>
      </c>
      <c r="EA45" s="191">
        <f t="shared" si="393"/>
        <v>0</v>
      </c>
      <c r="EB45" s="191">
        <f t="shared" si="394"/>
        <v>0</v>
      </c>
      <c r="EC45" s="263">
        <f t="shared" si="325"/>
        <v>0</v>
      </c>
      <c r="ED45" s="191">
        <f t="shared" si="395"/>
        <v>0</v>
      </c>
      <c r="EE45" s="191">
        <f t="shared" si="396"/>
        <v>0</v>
      </c>
      <c r="EF45" s="191">
        <f t="shared" si="397"/>
        <v>0</v>
      </c>
      <c r="EG45" s="191">
        <f t="shared" si="398"/>
        <v>0</v>
      </c>
      <c r="EH45" s="191">
        <f t="shared" si="399"/>
        <v>0</v>
      </c>
      <c r="EI45" s="191">
        <f t="shared" si="400"/>
        <v>0</v>
      </c>
      <c r="EJ45" s="259">
        <f t="shared" si="114"/>
        <v>0</v>
      </c>
      <c r="EK45" s="191">
        <f t="shared" si="401"/>
        <v>0</v>
      </c>
      <c r="EL45" s="191">
        <f t="shared" si="402"/>
        <v>0</v>
      </c>
      <c r="EM45" s="259">
        <f>COUNTIFS($B:$B,"GLENOLDEN",$C:$C,"USCCB",$M:$M,AG45)</f>
        <v>0</v>
      </c>
      <c r="EN45" s="259">
        <f t="shared" si="403"/>
        <v>0</v>
      </c>
      <c r="EO45" s="259">
        <f t="shared" si="332"/>
        <v>0</v>
      </c>
      <c r="EQ45" s="191">
        <f t="shared" si="404"/>
        <v>0</v>
      </c>
      <c r="ER45" s="191">
        <f t="shared" si="405"/>
        <v>0</v>
      </c>
      <c r="ES45" s="191">
        <f t="shared" si="406"/>
        <v>0</v>
      </c>
      <c r="ET45" s="191">
        <f t="shared" si="407"/>
        <v>0</v>
      </c>
      <c r="EU45" s="191">
        <f t="shared" si="408"/>
        <v>1</v>
      </c>
      <c r="EV45" s="191">
        <f t="shared" si="409"/>
        <v>0</v>
      </c>
      <c r="EW45" s="191">
        <f t="shared" si="410"/>
        <v>0</v>
      </c>
      <c r="EX45" s="191">
        <f t="shared" si="411"/>
        <v>0</v>
      </c>
      <c r="EY45" s="191">
        <f t="shared" si="333"/>
        <v>0</v>
      </c>
      <c r="EZ45" s="191">
        <f t="shared" si="412"/>
        <v>0</v>
      </c>
      <c r="FF45" s="191">
        <f t="shared" si="413"/>
        <v>0</v>
      </c>
      <c r="FG45" s="191">
        <f t="shared" si="414"/>
        <v>0</v>
      </c>
      <c r="FH45" s="191">
        <f t="shared" si="415"/>
        <v>0</v>
      </c>
      <c r="FI45" s="191">
        <f t="shared" si="334"/>
        <v>0</v>
      </c>
      <c r="FL45" s="159" t="s">
        <v>211</v>
      </c>
      <c r="FM45" s="160" t="s">
        <v>212</v>
      </c>
    </row>
    <row r="46" spans="1:169" ht="15.75" customHeight="1" thickBot="1" x14ac:dyDescent="0.3">
      <c r="A46" s="304">
        <v>44</v>
      </c>
      <c r="B46" s="299" t="s">
        <v>6</v>
      </c>
      <c r="C46" s="300" t="s">
        <v>3</v>
      </c>
      <c r="D46" s="299"/>
      <c r="E46" s="301"/>
      <c r="F46" s="301"/>
      <c r="G46" s="301"/>
      <c r="H46" s="299"/>
      <c r="I46" s="299"/>
      <c r="J46" s="299"/>
      <c r="K46" s="301"/>
      <c r="L46" s="302"/>
      <c r="M46" s="301" t="s">
        <v>150</v>
      </c>
      <c r="N46" s="303"/>
      <c r="O46" s="302">
        <v>42992</v>
      </c>
      <c r="P46" s="259"/>
      <c r="Q46" s="401"/>
      <c r="R46" s="402"/>
      <c r="S46" s="317"/>
      <c r="T46" s="316"/>
      <c r="U46" s="316"/>
      <c r="X46" s="119" t="s">
        <v>250</v>
      </c>
      <c r="Y46" s="97"/>
      <c r="Z46" s="135">
        <f>SUM(AI48:AK48,AM48:AN48,AP48:AU48,AW48:BC48)</f>
        <v>0</v>
      </c>
      <c r="AA46" s="135">
        <f>SUM(BI48:CD48,CF48:CO48,CQ48)</f>
        <v>0</v>
      </c>
      <c r="AB46" s="135">
        <f t="shared" si="78"/>
        <v>0</v>
      </c>
      <c r="AC46" s="135">
        <f>SUM(EQ48:EX48,EZ48)</f>
        <v>0</v>
      </c>
      <c r="AD46" s="135">
        <f>SUM(FF48:FH48)</f>
        <v>0</v>
      </c>
      <c r="AF46" s="159" t="s">
        <v>769</v>
      </c>
      <c r="AG46" s="160" t="s">
        <v>288</v>
      </c>
      <c r="AH46" s="114">
        <f t="shared" ref="AH46:AH77" si="417">SUM(AI46:AK46,AM46:AN46,AP46:AU46,AW46:BC46,BI46:CD46,CF46:CO46,CQ46,CW46:CZ46,DB46:DD46,DF46:EH46,EK46,EL46:EN46,EQ46:EX46,EZ46,FF46:FH46)</f>
        <v>0</v>
      </c>
      <c r="AI46" s="259">
        <f t="shared" ref="AI46" si="418">COUNTIFS($B:$B,"Pittsburgh",$C:$C,"ECDC",$M:$M,AG46)</f>
        <v>0</v>
      </c>
      <c r="AJ46" s="259">
        <f t="shared" ref="AJ46" si="419">COUNTIFS($B:$B,"LEETSDALE",$C:$C,"ECDC",$M:$M,AG46)</f>
        <v>0</v>
      </c>
      <c r="AK46" s="259">
        <f t="shared" ref="AK46" si="420">COUNTIFS($B:$B,"SEWICKLEY",$C:$C,"ECDC",$M:$M,AG46)</f>
        <v>0</v>
      </c>
      <c r="AL46" s="136">
        <f t="shared" ref="AL46" si="421">SUM(AI46:AK46)</f>
        <v>0</v>
      </c>
      <c r="AM46" s="259">
        <f t="shared" ref="AM46" si="422">COUNTIFS($B:$B,"Pittsburgh",$C:$C,"HIAS",$M:$M,AG46)</f>
        <v>0</v>
      </c>
      <c r="AN46" s="259">
        <f t="shared" ref="AN46" si="423">COUNTIFS($B:$B,"CASTLE SHANNON",$C:$C,"HIAS",$M:$M,AG46)</f>
        <v>0</v>
      </c>
      <c r="AO46" s="259">
        <f t="shared" ref="AO46" si="424">SUM(AM46:AN46)</f>
        <v>0</v>
      </c>
      <c r="AP46" s="259">
        <f t="shared" ref="AP46" si="425">COUNTIFS($B:$B,"CANONSBURG",$C:$C,"USCCB",$M:$M,AG46)</f>
        <v>0</v>
      </c>
      <c r="AQ46" s="259">
        <f t="shared" ref="AQ46" si="426">COUNTIFS($B:$B,"HANOVER TOWNSHIP",$C:$C,"USCCB",$M:$M,AG46)</f>
        <v>0</v>
      </c>
      <c r="AR46" s="259">
        <f t="shared" ref="AR46" si="427">COUNTIFS($B:$B,"INDIANA",$C:$C,"USCCB",$M:$M,AG46)</f>
        <v>0</v>
      </c>
      <c r="AS46" s="259">
        <f t="shared" ref="AS46:AS65" si="428">COUNTIFS($B:$B,"DUBOIS",$C:$C,"USCCB",$M:$M,AG46)</f>
        <v>0</v>
      </c>
      <c r="AT46" s="259">
        <f t="shared" ref="AT46" si="429">COUNTIFS($B:$B,"Pittsburgh",$C:$C,"USCCB",$M:$M,AG46)</f>
        <v>0</v>
      </c>
      <c r="AU46" s="259">
        <f t="shared" ref="AU46" si="430">COUNTIFS($B:$B,"SHARPSBURG",$C:$C,"USCCB",$M:$M,AG46)</f>
        <v>0</v>
      </c>
      <c r="AV46" s="259">
        <f t="shared" ref="AV46" si="431">SUM(AP46:AU46)</f>
        <v>0</v>
      </c>
      <c r="AW46" s="259">
        <f t="shared" ref="AW46" si="432">COUNTIFS($B:$B,"BELLEVUE",$C:$C,"USCRI",$M:$M,AG46)</f>
        <v>0</v>
      </c>
      <c r="AX46" s="259">
        <f t="shared" ref="AX46" si="433">COUNTIFS($B:$B,"BRENTWOOD",$C:$C,"USCRI",$M:$M,AG46)</f>
        <v>0</v>
      </c>
      <c r="AY46" s="259">
        <f t="shared" ref="AY46" si="434">COUNTIFS($B:$B,"CLAIRTON",$C:$C,"USCRI",$M:$M,AG46)</f>
        <v>0</v>
      </c>
      <c r="AZ46" s="259">
        <f t="shared" ref="AZ46" si="435">COUNTIFS($B:$B,"EAST MILLSBORO",$C:$C,"USCRI",$M:$M,AG46)</f>
        <v>0</v>
      </c>
      <c r="BA46" s="259">
        <f t="shared" ref="BA46" si="436">COUNTIFS($B:$B,"ETNA",$C:$C,"USCRI",$M:$M,AG46)</f>
        <v>0</v>
      </c>
      <c r="BB46" s="259">
        <f t="shared" ref="BB46" si="437">COUNTIFS($B:$B,"Pittsburgh",$C:$C,"USCRI",$M:$M,AG46)</f>
        <v>0</v>
      </c>
      <c r="BC46" s="263">
        <f t="shared" ref="BC46:BC65" si="438">COUNTIFS($B:$B,"CASTLE SHANNON",$C:$C,"USCRI",$M:$M,AG46)</f>
        <v>0</v>
      </c>
      <c r="BD46" s="259">
        <f t="shared" ref="BD46:BD77" si="439">SUM(AW46:BC46)</f>
        <v>0</v>
      </c>
      <c r="BE46" s="259"/>
      <c r="BF46" s="259"/>
      <c r="BG46" s="259"/>
      <c r="BH46" s="259"/>
      <c r="BI46" s="259">
        <f t="shared" si="335"/>
        <v>0</v>
      </c>
      <c r="BJ46" s="259">
        <f t="shared" si="336"/>
        <v>0</v>
      </c>
      <c r="BK46" s="259">
        <f t="shared" si="337"/>
        <v>0</v>
      </c>
      <c r="BL46" s="259">
        <f t="shared" si="338"/>
        <v>0</v>
      </c>
      <c r="BM46" s="259">
        <f t="shared" si="339"/>
        <v>0</v>
      </c>
      <c r="BN46" s="259">
        <f t="shared" si="340"/>
        <v>0</v>
      </c>
      <c r="BO46" s="259">
        <f t="shared" si="416"/>
        <v>0</v>
      </c>
      <c r="BP46" s="259">
        <f t="shared" si="341"/>
        <v>0</v>
      </c>
      <c r="BQ46" s="259">
        <f t="shared" si="342"/>
        <v>0</v>
      </c>
      <c r="BR46" s="259">
        <f t="shared" ref="BR46:BR65" si="440">COUNTIFS($B:$B,"HAMPDEN TOWNSHIP",$C:$C,"USCCB",$M:$M,AG46)</f>
        <v>0</v>
      </c>
      <c r="BS46" s="259">
        <f t="shared" si="343"/>
        <v>0</v>
      </c>
      <c r="BT46" s="259">
        <f t="shared" si="344"/>
        <v>0</v>
      </c>
      <c r="BU46" s="259">
        <f t="shared" si="345"/>
        <v>0</v>
      </c>
      <c r="BV46" s="259">
        <f t="shared" si="346"/>
        <v>0</v>
      </c>
      <c r="BW46" s="259">
        <f t="shared" si="347"/>
        <v>0</v>
      </c>
      <c r="BX46" s="259">
        <f t="shared" si="348"/>
        <v>0</v>
      </c>
      <c r="BY46" s="259">
        <f t="shared" si="349"/>
        <v>0</v>
      </c>
      <c r="BZ46" s="259">
        <f t="shared" si="350"/>
        <v>0</v>
      </c>
      <c r="CA46" s="259">
        <f t="shared" si="351"/>
        <v>0</v>
      </c>
      <c r="CB46" s="259">
        <f t="shared" si="352"/>
        <v>0</v>
      </c>
      <c r="CC46" s="259">
        <f t="shared" si="353"/>
        <v>0</v>
      </c>
      <c r="CD46" s="259">
        <f t="shared" si="354"/>
        <v>0</v>
      </c>
      <c r="CE46" s="259">
        <f t="shared" ref="CE46" si="441">SUM(BI46:CD46)</f>
        <v>0</v>
      </c>
      <c r="CF46" s="259">
        <f t="shared" si="355"/>
        <v>0</v>
      </c>
      <c r="CG46" s="259">
        <f t="shared" si="356"/>
        <v>0</v>
      </c>
      <c r="CH46" s="259">
        <f t="shared" si="357"/>
        <v>0</v>
      </c>
      <c r="CI46" s="259">
        <f t="shared" si="358"/>
        <v>0</v>
      </c>
      <c r="CJ46" s="259">
        <f t="shared" si="359"/>
        <v>0</v>
      </c>
      <c r="CK46" s="259">
        <f t="shared" si="360"/>
        <v>0</v>
      </c>
      <c r="CL46" s="259">
        <f t="shared" si="361"/>
        <v>0</v>
      </c>
      <c r="CM46" s="259">
        <f t="shared" si="362"/>
        <v>0</v>
      </c>
      <c r="CN46" s="259">
        <f t="shared" si="363"/>
        <v>0</v>
      </c>
      <c r="CO46" s="259">
        <f t="shared" si="364"/>
        <v>0</v>
      </c>
      <c r="CP46" s="259">
        <f t="shared" ref="CP46" si="442">SUM(CF46,CG46,CH46,CJ46,CK46,CL46,CM46,CN46,CO46)</f>
        <v>0</v>
      </c>
      <c r="CQ46" s="259">
        <f t="shared" si="365"/>
        <v>0</v>
      </c>
      <c r="CR46" s="259"/>
      <c r="CS46" s="259"/>
      <c r="CT46" s="259"/>
      <c r="CU46" s="259"/>
      <c r="CV46" s="259"/>
      <c r="CW46" s="259">
        <f t="shared" si="366"/>
        <v>0</v>
      </c>
      <c r="CX46" s="259">
        <f t="shared" si="367"/>
        <v>0</v>
      </c>
      <c r="CY46" s="259">
        <f t="shared" si="368"/>
        <v>0</v>
      </c>
      <c r="CZ46" s="259">
        <f t="shared" si="369"/>
        <v>0</v>
      </c>
      <c r="DA46" s="259">
        <f t="shared" ref="DA46" si="443">SUM(CX46:CZ46)</f>
        <v>0</v>
      </c>
      <c r="DB46" s="259">
        <f t="shared" si="370"/>
        <v>0</v>
      </c>
      <c r="DC46" s="259">
        <f t="shared" si="371"/>
        <v>0</v>
      </c>
      <c r="DD46" s="259">
        <f t="shared" si="372"/>
        <v>0</v>
      </c>
      <c r="DE46" s="259">
        <f t="shared" ref="DE46" si="444">SUM(DB46:DD46)</f>
        <v>0</v>
      </c>
      <c r="DF46" s="259">
        <f t="shared" si="373"/>
        <v>0</v>
      </c>
      <c r="DG46" s="259">
        <f t="shared" si="374"/>
        <v>0</v>
      </c>
      <c r="DH46" s="259">
        <f t="shared" si="375"/>
        <v>0</v>
      </c>
      <c r="DI46" s="259">
        <f t="shared" si="376"/>
        <v>0</v>
      </c>
      <c r="DJ46" s="259">
        <f t="shared" si="377"/>
        <v>0</v>
      </c>
      <c r="DK46" s="259">
        <f t="shared" si="378"/>
        <v>0</v>
      </c>
      <c r="DL46" s="259">
        <f t="shared" si="379"/>
        <v>0</v>
      </c>
      <c r="DM46" s="259">
        <f t="shared" si="380"/>
        <v>0</v>
      </c>
      <c r="DN46" s="259">
        <f t="shared" si="381"/>
        <v>0</v>
      </c>
      <c r="DO46" s="259">
        <f t="shared" si="382"/>
        <v>0</v>
      </c>
      <c r="DP46" s="259">
        <f t="shared" si="383"/>
        <v>0</v>
      </c>
      <c r="DQ46" s="259">
        <f>COUNTIFS($B:$B,"ELKINS PARK",$C:$C,"USCRI",$M:$M,AG46)</f>
        <v>0</v>
      </c>
      <c r="DR46" s="259">
        <f t="shared" si="384"/>
        <v>0</v>
      </c>
      <c r="DS46" s="259">
        <f t="shared" si="385"/>
        <v>0</v>
      </c>
      <c r="DT46" s="259">
        <f t="shared" si="386"/>
        <v>0</v>
      </c>
      <c r="DU46" s="259">
        <f t="shared" si="387"/>
        <v>0</v>
      </c>
      <c r="DV46" s="259">
        <f t="shared" si="388"/>
        <v>0</v>
      </c>
      <c r="DW46" s="259">
        <f t="shared" si="389"/>
        <v>0</v>
      </c>
      <c r="DX46" s="259">
        <f t="shared" si="390"/>
        <v>0</v>
      </c>
      <c r="DY46" s="259">
        <f t="shared" si="391"/>
        <v>0</v>
      </c>
      <c r="DZ46" s="259">
        <f t="shared" si="392"/>
        <v>0</v>
      </c>
      <c r="EA46" s="259">
        <f t="shared" si="393"/>
        <v>0</v>
      </c>
      <c r="EB46" s="259">
        <f t="shared" si="394"/>
        <v>0</v>
      </c>
      <c r="EC46" s="263">
        <f t="shared" ref="EC46:EC65" si="445">COUNTIFS($B:$B,"HUNTINGTON VALLEY",$C:$C,"USCRI",$M:$M,AG46)</f>
        <v>0</v>
      </c>
      <c r="ED46" s="259">
        <f t="shared" si="395"/>
        <v>0</v>
      </c>
      <c r="EE46" s="259">
        <f t="shared" si="396"/>
        <v>0</v>
      </c>
      <c r="EF46" s="259">
        <f t="shared" si="397"/>
        <v>0</v>
      </c>
      <c r="EG46" s="259">
        <f t="shared" si="398"/>
        <v>0</v>
      </c>
      <c r="EH46" s="259">
        <f t="shared" si="399"/>
        <v>0</v>
      </c>
      <c r="EI46" s="259">
        <f t="shared" si="400"/>
        <v>0</v>
      </c>
      <c r="EJ46" s="259">
        <f t="shared" si="114"/>
        <v>0</v>
      </c>
      <c r="EK46" s="259">
        <f t="shared" si="401"/>
        <v>0</v>
      </c>
      <c r="EL46" s="259">
        <f t="shared" si="402"/>
        <v>0</v>
      </c>
      <c r="EM46" s="259">
        <f t="shared" ref="EM46:EM65" si="446">COUNTIFS($B:$B,"GLENOLDEN",$C:$C,"USCCB",$M:$M,AG46)</f>
        <v>0</v>
      </c>
      <c r="EN46" s="259">
        <f t="shared" si="403"/>
        <v>0</v>
      </c>
      <c r="EO46" s="259">
        <f t="shared" ref="EO46:EO77" si="447">SUM(EK46:EN46)</f>
        <v>0</v>
      </c>
      <c r="EP46" s="259"/>
      <c r="EQ46" s="259">
        <f t="shared" si="404"/>
        <v>0</v>
      </c>
      <c r="ER46" s="259">
        <f t="shared" si="405"/>
        <v>0</v>
      </c>
      <c r="ES46" s="259">
        <f t="shared" si="406"/>
        <v>0</v>
      </c>
      <c r="ET46" s="259">
        <f t="shared" si="407"/>
        <v>0</v>
      </c>
      <c r="EU46" s="259">
        <f t="shared" si="408"/>
        <v>0</v>
      </c>
      <c r="EV46" s="259">
        <f t="shared" si="409"/>
        <v>0</v>
      </c>
      <c r="EW46" s="259">
        <f t="shared" si="410"/>
        <v>0</v>
      </c>
      <c r="EX46" s="259">
        <f t="shared" si="411"/>
        <v>0</v>
      </c>
      <c r="EY46" s="259">
        <f t="shared" ref="EY46" si="448">SUM(EQ46,ER46,ES46,ET46,EV46,EW46,EX46)</f>
        <v>0</v>
      </c>
      <c r="EZ46" s="191">
        <f t="shared" si="412"/>
        <v>0</v>
      </c>
      <c r="FF46" s="259">
        <f t="shared" si="413"/>
        <v>0</v>
      </c>
      <c r="FG46" s="259">
        <f t="shared" si="414"/>
        <v>0</v>
      </c>
      <c r="FH46" s="259">
        <f t="shared" si="415"/>
        <v>0</v>
      </c>
      <c r="FI46" s="259">
        <f t="shared" ref="FI46" si="449">SUM(FG46:FH46)</f>
        <v>0</v>
      </c>
      <c r="FL46" s="159" t="s">
        <v>769</v>
      </c>
      <c r="FM46" s="160" t="s">
        <v>288</v>
      </c>
    </row>
    <row r="47" spans="1:169" ht="15.75" thickBot="1" x14ac:dyDescent="0.3">
      <c r="A47" s="304">
        <v>45</v>
      </c>
      <c r="B47" s="299" t="s">
        <v>6</v>
      </c>
      <c r="C47" s="300" t="s">
        <v>3</v>
      </c>
      <c r="D47" s="299"/>
      <c r="E47" s="301"/>
      <c r="F47" s="301"/>
      <c r="G47" s="301"/>
      <c r="H47" s="299"/>
      <c r="I47" s="299"/>
      <c r="J47" s="299"/>
      <c r="K47" s="301"/>
      <c r="L47" s="302"/>
      <c r="M47" s="301" t="s">
        <v>150</v>
      </c>
      <c r="N47" s="303"/>
      <c r="O47" s="302">
        <v>42992</v>
      </c>
      <c r="P47" s="259"/>
      <c r="R47" s="316"/>
      <c r="S47" s="316"/>
      <c r="X47" s="145">
        <f>SUM(Y39:Y45,Y9:Y11,Y19:Y20,Y28:Y33)</f>
        <v>38</v>
      </c>
      <c r="Y47" s="97"/>
      <c r="Z47" s="135">
        <f>SUM(AI49:AK49,AM49:AN49,AP49:AU49,AW49:BC49)</f>
        <v>0</v>
      </c>
      <c r="AA47" s="135">
        <f>SUM(BI49:CD49,CF49:CO49,CQ49)</f>
        <v>2</v>
      </c>
      <c r="AB47" s="135">
        <f t="shared" si="78"/>
        <v>1</v>
      </c>
      <c r="AC47" s="135">
        <f>SUM(EQ49:EX49,EZ49)</f>
        <v>0</v>
      </c>
      <c r="AD47" s="135">
        <f>SUM(FF49:FH49)</f>
        <v>0</v>
      </c>
      <c r="AF47" s="159" t="s">
        <v>213</v>
      </c>
      <c r="AG47" s="160" t="s">
        <v>214</v>
      </c>
      <c r="AH47" s="114">
        <f t="shared" si="417"/>
        <v>1</v>
      </c>
      <c r="AI47" s="191">
        <f t="shared" ref="AI47:AI64" si="450">COUNTIFS($B:$B,"Pittsburgh",$C:$C,"ECDC",$M:$M,AG47)</f>
        <v>0</v>
      </c>
      <c r="AJ47" s="191">
        <f t="shared" ref="AJ47:AJ64" si="451">COUNTIFS($B:$B,"LEETSDALE",$C:$C,"ECDC",$M:$M,AG47)</f>
        <v>0</v>
      </c>
      <c r="AK47" s="191">
        <f t="shared" ref="AK47:AK64" si="452">COUNTIFS($B:$B,"SEWICKLEY",$C:$C,"ECDC",$M:$M,AG47)</f>
        <v>0</v>
      </c>
      <c r="AL47" s="136">
        <f t="shared" ref="AL47:AL64" si="453">SUM(AI47:AK47)</f>
        <v>0</v>
      </c>
      <c r="AM47" s="191">
        <f t="shared" ref="AM47:AM64" si="454">COUNTIFS($B:$B,"Pittsburgh",$C:$C,"HIAS",$M:$M,AG47)</f>
        <v>0</v>
      </c>
      <c r="AN47" s="191">
        <f t="shared" ref="AN47:AN64" si="455">COUNTIFS($B:$B,"CASTLE SHANNON",$C:$C,"HIAS",$M:$M,AG47)</f>
        <v>0</v>
      </c>
      <c r="AO47" s="191">
        <f t="shared" ref="AO47:AO64" si="456">SUM(AM47:AN47)</f>
        <v>0</v>
      </c>
      <c r="AP47" s="191">
        <f t="shared" ref="AP47:AP64" si="457">COUNTIFS($B:$B,"CANONSBURG",$C:$C,"USCCB",$M:$M,AG47)</f>
        <v>0</v>
      </c>
      <c r="AQ47" s="191">
        <f t="shared" ref="AQ47:AQ64" si="458">COUNTIFS($B:$B,"HANOVER TOWNSHIP",$C:$C,"USCCB",$M:$M,AG47)</f>
        <v>0</v>
      </c>
      <c r="AR47" s="191">
        <f t="shared" ref="AR47:AR64" si="459">COUNTIFS($B:$B,"INDIANA",$C:$C,"USCCB",$M:$M,AG47)</f>
        <v>0</v>
      </c>
      <c r="AS47" s="259">
        <f t="shared" si="428"/>
        <v>0</v>
      </c>
      <c r="AT47" s="191">
        <f t="shared" ref="AT47:AT64" si="460">COUNTIFS($B:$B,"Pittsburgh",$C:$C,"USCCB",$M:$M,AG47)</f>
        <v>0</v>
      </c>
      <c r="AU47" s="191">
        <f t="shared" ref="AU47:AU64" si="461">COUNTIFS($B:$B,"SHARPSBURG",$C:$C,"USCCB",$M:$M,AG47)</f>
        <v>0</v>
      </c>
      <c r="AV47" s="191">
        <f t="shared" ref="AV47:AV64" si="462">SUM(AP47:AU47)</f>
        <v>0</v>
      </c>
      <c r="AW47" s="191">
        <f t="shared" ref="AW47:AW64" si="463">COUNTIFS($B:$B,"BELLEVUE",$C:$C,"USCRI",$M:$M,AG47)</f>
        <v>0</v>
      </c>
      <c r="AX47" s="191">
        <f t="shared" ref="AX47:AX64" si="464">COUNTIFS($B:$B,"BRENTWOOD",$C:$C,"USCRI",$M:$M,AG47)</f>
        <v>0</v>
      </c>
      <c r="AY47" s="191">
        <f t="shared" ref="AY47:AY64" si="465">COUNTIFS($B:$B,"CLAIRTON",$C:$C,"USCRI",$M:$M,AG47)</f>
        <v>0</v>
      </c>
      <c r="AZ47" s="191">
        <f t="shared" ref="AZ47:AZ64" si="466">COUNTIFS($B:$B,"EAST MILLSBORO",$C:$C,"USCRI",$M:$M,AG47)</f>
        <v>0</v>
      </c>
      <c r="BA47" s="191">
        <f t="shared" ref="BA47:BA64" si="467">COUNTIFS($B:$B,"ETNA",$C:$C,"USCRI",$M:$M,AG47)</f>
        <v>0</v>
      </c>
      <c r="BB47" s="191">
        <f t="shared" ref="BB47:BB64" si="468">COUNTIFS($B:$B,"Pittsburgh",$C:$C,"USCRI",$M:$M,AG47)</f>
        <v>0</v>
      </c>
      <c r="BC47" s="263">
        <f t="shared" si="438"/>
        <v>0</v>
      </c>
      <c r="BD47" s="259">
        <f t="shared" si="439"/>
        <v>0</v>
      </c>
      <c r="BI47" s="191">
        <f t="shared" si="335"/>
        <v>0</v>
      </c>
      <c r="BJ47" s="191">
        <f t="shared" si="336"/>
        <v>0</v>
      </c>
      <c r="BK47" s="191">
        <f t="shared" si="337"/>
        <v>0</v>
      </c>
      <c r="BL47" s="191">
        <f t="shared" si="338"/>
        <v>0</v>
      </c>
      <c r="BM47" s="191">
        <f t="shared" si="339"/>
        <v>0</v>
      </c>
      <c r="BN47" s="191">
        <f t="shared" si="340"/>
        <v>0</v>
      </c>
      <c r="BO47" s="259">
        <f t="shared" si="416"/>
        <v>0</v>
      </c>
      <c r="BP47" s="191">
        <f t="shared" si="341"/>
        <v>0</v>
      </c>
      <c r="BQ47" s="191">
        <f t="shared" si="342"/>
        <v>0</v>
      </c>
      <c r="BR47" s="259">
        <f t="shared" si="440"/>
        <v>0</v>
      </c>
      <c r="BS47" s="191">
        <f t="shared" si="343"/>
        <v>0</v>
      </c>
      <c r="BT47" s="191">
        <f t="shared" si="344"/>
        <v>0</v>
      </c>
      <c r="BU47" s="191">
        <f t="shared" si="345"/>
        <v>0</v>
      </c>
      <c r="BV47" s="259">
        <f t="shared" si="346"/>
        <v>0</v>
      </c>
      <c r="BW47" s="191">
        <f t="shared" si="347"/>
        <v>0</v>
      </c>
      <c r="BX47" s="191">
        <f t="shared" si="348"/>
        <v>0</v>
      </c>
      <c r="BY47" s="191">
        <f t="shared" si="349"/>
        <v>0</v>
      </c>
      <c r="BZ47" s="191">
        <f t="shared" si="350"/>
        <v>0</v>
      </c>
      <c r="CA47" s="191">
        <f t="shared" si="351"/>
        <v>0</v>
      </c>
      <c r="CB47" s="191">
        <f t="shared" si="352"/>
        <v>0</v>
      </c>
      <c r="CC47" s="191">
        <f t="shared" si="353"/>
        <v>0</v>
      </c>
      <c r="CD47" s="191">
        <f t="shared" si="354"/>
        <v>0</v>
      </c>
      <c r="CE47" s="191">
        <f t="shared" ref="CE47:CE64" si="469">SUM(BI47:CD47)</f>
        <v>0</v>
      </c>
      <c r="CF47" s="191">
        <f t="shared" si="355"/>
        <v>0</v>
      </c>
      <c r="CG47" s="191">
        <f t="shared" si="356"/>
        <v>0</v>
      </c>
      <c r="CH47" s="191">
        <f t="shared" si="357"/>
        <v>0</v>
      </c>
      <c r="CI47" s="191">
        <f t="shared" si="358"/>
        <v>0</v>
      </c>
      <c r="CJ47" s="191">
        <f t="shared" si="359"/>
        <v>0</v>
      </c>
      <c r="CK47" s="191">
        <f t="shared" si="360"/>
        <v>0</v>
      </c>
      <c r="CL47" s="191">
        <f t="shared" si="361"/>
        <v>0</v>
      </c>
      <c r="CM47" s="191">
        <f t="shared" si="362"/>
        <v>0</v>
      </c>
      <c r="CN47" s="191">
        <f t="shared" si="363"/>
        <v>0</v>
      </c>
      <c r="CO47" s="191">
        <f t="shared" si="364"/>
        <v>0</v>
      </c>
      <c r="CP47" s="191">
        <f t="shared" ref="CP47:CP64" si="470">SUM(CF47,CG47,CH47,CJ47,CK47,CL47,CM47,CN47,CO47)</f>
        <v>0</v>
      </c>
      <c r="CQ47" s="191">
        <f t="shared" si="365"/>
        <v>0</v>
      </c>
      <c r="CW47" s="191">
        <f t="shared" si="366"/>
        <v>0</v>
      </c>
      <c r="CX47" s="191">
        <f t="shared" si="367"/>
        <v>0</v>
      </c>
      <c r="CY47" s="191">
        <f t="shared" si="368"/>
        <v>0</v>
      </c>
      <c r="CZ47" s="191">
        <f t="shared" si="369"/>
        <v>0</v>
      </c>
      <c r="DA47" s="191">
        <f t="shared" ref="DA47:DA64" si="471">SUM(CX47:CZ47)</f>
        <v>0</v>
      </c>
      <c r="DB47" s="191">
        <f t="shared" si="370"/>
        <v>0</v>
      </c>
      <c r="DC47" s="191">
        <f t="shared" si="371"/>
        <v>0</v>
      </c>
      <c r="DD47" s="191">
        <f t="shared" si="372"/>
        <v>0</v>
      </c>
      <c r="DE47" s="191">
        <f t="shared" ref="DE47:DE64" si="472">SUM(DB47:DD47)</f>
        <v>0</v>
      </c>
      <c r="DF47" s="191">
        <f t="shared" si="373"/>
        <v>0</v>
      </c>
      <c r="DG47" s="191">
        <f t="shared" si="374"/>
        <v>0</v>
      </c>
      <c r="DH47" s="191">
        <f t="shared" si="375"/>
        <v>0</v>
      </c>
      <c r="DI47" s="191">
        <f t="shared" si="376"/>
        <v>0</v>
      </c>
      <c r="DJ47" s="191">
        <f t="shared" si="377"/>
        <v>0</v>
      </c>
      <c r="DK47" s="191">
        <f t="shared" si="378"/>
        <v>0</v>
      </c>
      <c r="DL47" s="191">
        <f t="shared" si="379"/>
        <v>0</v>
      </c>
      <c r="DM47" s="191">
        <f t="shared" si="380"/>
        <v>0</v>
      </c>
      <c r="DN47" s="191">
        <f t="shared" si="381"/>
        <v>0</v>
      </c>
      <c r="DO47" s="191">
        <f t="shared" si="382"/>
        <v>0</v>
      </c>
      <c r="DP47" s="191">
        <f t="shared" si="383"/>
        <v>0</v>
      </c>
      <c r="DQ47" s="259">
        <f>COUNTIFS($B:$B,"ELKINS PARK",$C:$C,"USCRI",$M:$M,AG47)</f>
        <v>0</v>
      </c>
      <c r="DR47" s="191">
        <f t="shared" si="384"/>
        <v>0</v>
      </c>
      <c r="DS47" s="191">
        <f t="shared" si="385"/>
        <v>0</v>
      </c>
      <c r="DT47" s="191">
        <f t="shared" si="386"/>
        <v>0</v>
      </c>
      <c r="DU47" s="191">
        <f t="shared" si="387"/>
        <v>0</v>
      </c>
      <c r="DV47" s="191">
        <f t="shared" si="388"/>
        <v>0</v>
      </c>
      <c r="DW47" s="191">
        <f t="shared" si="389"/>
        <v>0</v>
      </c>
      <c r="DX47" s="191">
        <f t="shared" si="390"/>
        <v>0</v>
      </c>
      <c r="DY47" s="191">
        <f t="shared" si="391"/>
        <v>1</v>
      </c>
      <c r="DZ47" s="191">
        <f t="shared" si="392"/>
        <v>0</v>
      </c>
      <c r="EA47" s="191">
        <f t="shared" si="393"/>
        <v>0</v>
      </c>
      <c r="EB47" s="191">
        <f t="shared" si="394"/>
        <v>0</v>
      </c>
      <c r="EC47" s="263">
        <f t="shared" si="445"/>
        <v>0</v>
      </c>
      <c r="ED47" s="191">
        <f t="shared" si="395"/>
        <v>0</v>
      </c>
      <c r="EE47" s="191">
        <f t="shared" si="396"/>
        <v>0</v>
      </c>
      <c r="EF47" s="191">
        <f t="shared" si="397"/>
        <v>0</v>
      </c>
      <c r="EG47" s="191">
        <f t="shared" si="398"/>
        <v>0</v>
      </c>
      <c r="EH47" s="191">
        <f t="shared" si="399"/>
        <v>0</v>
      </c>
      <c r="EI47" s="191">
        <f t="shared" si="400"/>
        <v>1</v>
      </c>
      <c r="EJ47" s="259">
        <f t="shared" si="114"/>
        <v>0</v>
      </c>
      <c r="EK47" s="191">
        <f t="shared" si="401"/>
        <v>0</v>
      </c>
      <c r="EL47" s="191">
        <f t="shared" si="402"/>
        <v>0</v>
      </c>
      <c r="EM47" s="259">
        <f t="shared" si="446"/>
        <v>0</v>
      </c>
      <c r="EN47" s="259">
        <f t="shared" si="403"/>
        <v>0</v>
      </c>
      <c r="EO47" s="259">
        <f t="shared" si="447"/>
        <v>0</v>
      </c>
      <c r="EQ47" s="191">
        <f t="shared" si="404"/>
        <v>0</v>
      </c>
      <c r="ER47" s="191">
        <f t="shared" si="405"/>
        <v>0</v>
      </c>
      <c r="ES47" s="191">
        <f t="shared" si="406"/>
        <v>0</v>
      </c>
      <c r="ET47" s="191">
        <f t="shared" si="407"/>
        <v>0</v>
      </c>
      <c r="EU47" s="191">
        <f t="shared" si="408"/>
        <v>0</v>
      </c>
      <c r="EV47" s="191">
        <f t="shared" si="409"/>
        <v>0</v>
      </c>
      <c r="EW47" s="191">
        <f t="shared" si="410"/>
        <v>0</v>
      </c>
      <c r="EX47" s="191">
        <f t="shared" si="411"/>
        <v>0</v>
      </c>
      <c r="EY47" s="191">
        <f t="shared" ref="EY47:EY64" si="473">SUM(EQ47,ER47,ES47,ET47,EV47,EW47,EX47)</f>
        <v>0</v>
      </c>
      <c r="EZ47" s="191">
        <f t="shared" si="412"/>
        <v>0</v>
      </c>
      <c r="FF47" s="191">
        <f t="shared" si="413"/>
        <v>0</v>
      </c>
      <c r="FG47" s="191">
        <f t="shared" si="414"/>
        <v>0</v>
      </c>
      <c r="FH47" s="191">
        <f t="shared" si="415"/>
        <v>0</v>
      </c>
      <c r="FI47" s="191">
        <f t="shared" ref="FI47:FI64" si="474">SUM(FG47:FH47)</f>
        <v>0</v>
      </c>
      <c r="FL47" s="159" t="s">
        <v>213</v>
      </c>
      <c r="FM47" s="160" t="s">
        <v>214</v>
      </c>
    </row>
    <row r="48" spans="1:169" ht="15.75" thickBot="1" x14ac:dyDescent="0.3">
      <c r="A48" s="304">
        <v>46</v>
      </c>
      <c r="B48" s="299" t="s">
        <v>6</v>
      </c>
      <c r="C48" s="300" t="s">
        <v>3</v>
      </c>
      <c r="D48" s="299"/>
      <c r="E48" s="301"/>
      <c r="F48" s="301"/>
      <c r="G48" s="301"/>
      <c r="H48" s="299"/>
      <c r="I48" s="299"/>
      <c r="J48" s="299"/>
      <c r="K48" s="301"/>
      <c r="L48" s="302"/>
      <c r="M48" s="301" t="s">
        <v>150</v>
      </c>
      <c r="N48" s="303"/>
      <c r="O48" s="302">
        <v>42992</v>
      </c>
      <c r="P48" s="259"/>
      <c r="Y48" s="97"/>
      <c r="Z48" s="135">
        <f>SUM(AI50:AK50,AM50:AN50,AP50:AU50,AW50:BC50)</f>
        <v>0</v>
      </c>
      <c r="AA48" s="135">
        <f>SUM(BI50:CD50,CF50:CO50,CQ50)</f>
        <v>0</v>
      </c>
      <c r="AB48" s="135">
        <f t="shared" si="78"/>
        <v>0</v>
      </c>
      <c r="AC48" s="135">
        <f>SUM(EQ50:EX50,EZ50)</f>
        <v>0</v>
      </c>
      <c r="AD48" s="135">
        <f>SUM(FF50:FH50)</f>
        <v>0</v>
      </c>
      <c r="AF48" s="159" t="s">
        <v>215</v>
      </c>
      <c r="AG48" s="160" t="s">
        <v>216</v>
      </c>
      <c r="AH48" s="114">
        <f t="shared" si="417"/>
        <v>0</v>
      </c>
      <c r="AI48" s="191">
        <f t="shared" si="450"/>
        <v>0</v>
      </c>
      <c r="AJ48" s="191">
        <f t="shared" si="451"/>
        <v>0</v>
      </c>
      <c r="AK48" s="191">
        <f t="shared" si="452"/>
        <v>0</v>
      </c>
      <c r="AL48" s="136">
        <f t="shared" si="453"/>
        <v>0</v>
      </c>
      <c r="AM48" s="191">
        <f t="shared" si="454"/>
        <v>0</v>
      </c>
      <c r="AN48" s="191">
        <f t="shared" si="455"/>
        <v>0</v>
      </c>
      <c r="AO48" s="191">
        <f t="shared" si="456"/>
        <v>0</v>
      </c>
      <c r="AP48" s="191">
        <f t="shared" si="457"/>
        <v>0</v>
      </c>
      <c r="AQ48" s="191">
        <f t="shared" si="458"/>
        <v>0</v>
      </c>
      <c r="AR48" s="191">
        <f t="shared" si="459"/>
        <v>0</v>
      </c>
      <c r="AS48" s="259">
        <f t="shared" si="428"/>
        <v>0</v>
      </c>
      <c r="AT48" s="191">
        <f t="shared" si="460"/>
        <v>0</v>
      </c>
      <c r="AU48" s="191">
        <f t="shared" si="461"/>
        <v>0</v>
      </c>
      <c r="AV48" s="191">
        <f t="shared" si="462"/>
        <v>0</v>
      </c>
      <c r="AW48" s="191">
        <f t="shared" si="463"/>
        <v>0</v>
      </c>
      <c r="AX48" s="191">
        <f t="shared" si="464"/>
        <v>0</v>
      </c>
      <c r="AY48" s="191">
        <f t="shared" si="465"/>
        <v>0</v>
      </c>
      <c r="AZ48" s="191">
        <f t="shared" si="466"/>
        <v>0</v>
      </c>
      <c r="BA48" s="191">
        <f t="shared" si="467"/>
        <v>0</v>
      </c>
      <c r="BB48" s="191">
        <f t="shared" si="468"/>
        <v>0</v>
      </c>
      <c r="BC48" s="263">
        <f t="shared" si="438"/>
        <v>0</v>
      </c>
      <c r="BD48" s="259">
        <f t="shared" si="439"/>
        <v>0</v>
      </c>
      <c r="BI48" s="191">
        <f t="shared" si="335"/>
        <v>0</v>
      </c>
      <c r="BJ48" s="191">
        <f t="shared" si="336"/>
        <v>0</v>
      </c>
      <c r="BK48" s="191">
        <f t="shared" si="337"/>
        <v>0</v>
      </c>
      <c r="BL48" s="191">
        <f t="shared" si="338"/>
        <v>0</v>
      </c>
      <c r="BM48" s="191">
        <f t="shared" si="339"/>
        <v>0</v>
      </c>
      <c r="BN48" s="191">
        <f t="shared" si="340"/>
        <v>0</v>
      </c>
      <c r="BO48" s="259">
        <f t="shared" si="416"/>
        <v>0</v>
      </c>
      <c r="BP48" s="191">
        <f t="shared" si="341"/>
        <v>0</v>
      </c>
      <c r="BQ48" s="191">
        <f t="shared" si="342"/>
        <v>0</v>
      </c>
      <c r="BR48" s="259">
        <f t="shared" si="440"/>
        <v>0</v>
      </c>
      <c r="BS48" s="191">
        <f t="shared" si="343"/>
        <v>0</v>
      </c>
      <c r="BT48" s="191">
        <f t="shared" si="344"/>
        <v>0</v>
      </c>
      <c r="BU48" s="191">
        <f t="shared" si="345"/>
        <v>0</v>
      </c>
      <c r="BV48" s="259">
        <f t="shared" si="346"/>
        <v>0</v>
      </c>
      <c r="BW48" s="191">
        <f t="shared" si="347"/>
        <v>0</v>
      </c>
      <c r="BX48" s="191">
        <f t="shared" si="348"/>
        <v>0</v>
      </c>
      <c r="BY48" s="191">
        <f t="shared" si="349"/>
        <v>0</v>
      </c>
      <c r="BZ48" s="191">
        <f t="shared" si="350"/>
        <v>0</v>
      </c>
      <c r="CA48" s="191">
        <f t="shared" si="351"/>
        <v>0</v>
      </c>
      <c r="CB48" s="191">
        <f t="shared" si="352"/>
        <v>0</v>
      </c>
      <c r="CC48" s="191">
        <f t="shared" si="353"/>
        <v>0</v>
      </c>
      <c r="CD48" s="191">
        <f t="shared" si="354"/>
        <v>0</v>
      </c>
      <c r="CE48" s="191">
        <f t="shared" si="469"/>
        <v>0</v>
      </c>
      <c r="CF48" s="191">
        <f t="shared" si="355"/>
        <v>0</v>
      </c>
      <c r="CG48" s="191">
        <f t="shared" si="356"/>
        <v>0</v>
      </c>
      <c r="CH48" s="191">
        <f t="shared" si="357"/>
        <v>0</v>
      </c>
      <c r="CI48" s="191">
        <f t="shared" si="358"/>
        <v>0</v>
      </c>
      <c r="CJ48" s="191">
        <f t="shared" si="359"/>
        <v>0</v>
      </c>
      <c r="CK48" s="191">
        <f t="shared" si="360"/>
        <v>0</v>
      </c>
      <c r="CL48" s="191">
        <f t="shared" si="361"/>
        <v>0</v>
      </c>
      <c r="CM48" s="191">
        <f t="shared" si="362"/>
        <v>0</v>
      </c>
      <c r="CN48" s="191">
        <f t="shared" si="363"/>
        <v>0</v>
      </c>
      <c r="CO48" s="191">
        <f t="shared" si="364"/>
        <v>0</v>
      </c>
      <c r="CP48" s="191">
        <f t="shared" si="470"/>
        <v>0</v>
      </c>
      <c r="CQ48" s="191">
        <f t="shared" si="365"/>
        <v>0</v>
      </c>
      <c r="CW48" s="191">
        <f t="shared" si="366"/>
        <v>0</v>
      </c>
      <c r="CX48" s="191">
        <f t="shared" si="367"/>
        <v>0</v>
      </c>
      <c r="CY48" s="191">
        <f t="shared" si="368"/>
        <v>0</v>
      </c>
      <c r="CZ48" s="191">
        <f t="shared" si="369"/>
        <v>0</v>
      </c>
      <c r="DA48" s="191">
        <f t="shared" si="471"/>
        <v>0</v>
      </c>
      <c r="DB48" s="191">
        <f t="shared" si="370"/>
        <v>0</v>
      </c>
      <c r="DC48" s="191">
        <f t="shared" si="371"/>
        <v>0</v>
      </c>
      <c r="DD48" s="191">
        <f t="shared" si="372"/>
        <v>0</v>
      </c>
      <c r="DE48" s="191">
        <f t="shared" si="472"/>
        <v>0</v>
      </c>
      <c r="DF48" s="191">
        <f t="shared" si="373"/>
        <v>0</v>
      </c>
      <c r="DG48" s="191">
        <f t="shared" si="374"/>
        <v>0</v>
      </c>
      <c r="DH48" s="191">
        <f t="shared" si="375"/>
        <v>0</v>
      </c>
      <c r="DI48" s="191">
        <f t="shared" si="376"/>
        <v>0</v>
      </c>
      <c r="DJ48" s="191">
        <f t="shared" si="377"/>
        <v>0</v>
      </c>
      <c r="DK48" s="191">
        <f t="shared" si="378"/>
        <v>0</v>
      </c>
      <c r="DL48" s="191">
        <f t="shared" si="379"/>
        <v>0</v>
      </c>
      <c r="DM48" s="191">
        <f t="shared" si="380"/>
        <v>0</v>
      </c>
      <c r="DN48" s="191">
        <f t="shared" si="381"/>
        <v>0</v>
      </c>
      <c r="DO48" s="191">
        <f t="shared" si="382"/>
        <v>0</v>
      </c>
      <c r="DP48" s="191">
        <f t="shared" si="383"/>
        <v>0</v>
      </c>
      <c r="DQ48" s="259">
        <f>COUNTIFS($B:$B,"ELKINS PARK",$C:$C,"USCRI",$M:$M,AG48)</f>
        <v>0</v>
      </c>
      <c r="DR48" s="191">
        <f t="shared" si="384"/>
        <v>0</v>
      </c>
      <c r="DS48" s="191">
        <f t="shared" si="385"/>
        <v>0</v>
      </c>
      <c r="DT48" s="191">
        <f t="shared" si="386"/>
        <v>0</v>
      </c>
      <c r="DU48" s="191">
        <f t="shared" si="387"/>
        <v>0</v>
      </c>
      <c r="DV48" s="191">
        <f t="shared" si="388"/>
        <v>0</v>
      </c>
      <c r="DW48" s="191">
        <f t="shared" si="389"/>
        <v>0</v>
      </c>
      <c r="DX48" s="191">
        <f t="shared" si="390"/>
        <v>0</v>
      </c>
      <c r="DY48" s="191">
        <f t="shared" si="391"/>
        <v>0</v>
      </c>
      <c r="DZ48" s="191">
        <f t="shared" si="392"/>
        <v>0</v>
      </c>
      <c r="EA48" s="191">
        <f t="shared" si="393"/>
        <v>0</v>
      </c>
      <c r="EB48" s="191">
        <f t="shared" si="394"/>
        <v>0</v>
      </c>
      <c r="EC48" s="263">
        <f t="shared" si="445"/>
        <v>0</v>
      </c>
      <c r="ED48" s="191">
        <f t="shared" si="395"/>
        <v>0</v>
      </c>
      <c r="EE48" s="191">
        <f t="shared" si="396"/>
        <v>0</v>
      </c>
      <c r="EF48" s="191">
        <f t="shared" si="397"/>
        <v>0</v>
      </c>
      <c r="EG48" s="191">
        <f t="shared" si="398"/>
        <v>0</v>
      </c>
      <c r="EH48" s="191">
        <f t="shared" si="399"/>
        <v>0</v>
      </c>
      <c r="EI48" s="191">
        <f t="shared" si="400"/>
        <v>0</v>
      </c>
      <c r="EJ48" s="259">
        <f t="shared" si="114"/>
        <v>0</v>
      </c>
      <c r="EK48" s="191">
        <f t="shared" si="401"/>
        <v>0</v>
      </c>
      <c r="EL48" s="191">
        <f t="shared" si="402"/>
        <v>0</v>
      </c>
      <c r="EM48" s="259">
        <f t="shared" si="446"/>
        <v>0</v>
      </c>
      <c r="EN48" s="259">
        <f t="shared" si="403"/>
        <v>0</v>
      </c>
      <c r="EO48" s="259">
        <f t="shared" si="447"/>
        <v>0</v>
      </c>
      <c r="EQ48" s="191">
        <f t="shared" si="404"/>
        <v>0</v>
      </c>
      <c r="ER48" s="191">
        <f t="shared" si="405"/>
        <v>0</v>
      </c>
      <c r="ES48" s="191">
        <f t="shared" si="406"/>
        <v>0</v>
      </c>
      <c r="ET48" s="191">
        <f t="shared" si="407"/>
        <v>0</v>
      </c>
      <c r="EU48" s="191">
        <f t="shared" si="408"/>
        <v>0</v>
      </c>
      <c r="EV48" s="191">
        <f t="shared" si="409"/>
        <v>0</v>
      </c>
      <c r="EW48" s="191">
        <f t="shared" si="410"/>
        <v>0</v>
      </c>
      <c r="EX48" s="191">
        <f t="shared" si="411"/>
        <v>0</v>
      </c>
      <c r="EY48" s="191">
        <f t="shared" si="473"/>
        <v>0</v>
      </c>
      <c r="EZ48" s="191">
        <f t="shared" si="412"/>
        <v>0</v>
      </c>
      <c r="FF48" s="191">
        <f t="shared" si="413"/>
        <v>0</v>
      </c>
      <c r="FG48" s="191">
        <f t="shared" si="414"/>
        <v>0</v>
      </c>
      <c r="FH48" s="191">
        <f t="shared" si="415"/>
        <v>0</v>
      </c>
      <c r="FI48" s="191">
        <f t="shared" si="474"/>
        <v>0</v>
      </c>
      <c r="FL48" s="159" t="s">
        <v>215</v>
      </c>
      <c r="FM48" s="160" t="s">
        <v>216</v>
      </c>
    </row>
    <row r="49" spans="1:169" ht="15.75" thickBot="1" x14ac:dyDescent="0.3">
      <c r="A49" s="304">
        <v>47</v>
      </c>
      <c r="B49" s="299" t="s">
        <v>6</v>
      </c>
      <c r="C49" s="300" t="s">
        <v>3</v>
      </c>
      <c r="D49" s="299"/>
      <c r="E49" s="301"/>
      <c r="F49" s="301"/>
      <c r="G49" s="301"/>
      <c r="H49" s="299"/>
      <c r="I49" s="299"/>
      <c r="J49" s="299"/>
      <c r="K49" s="301"/>
      <c r="L49" s="302"/>
      <c r="M49" s="301" t="s">
        <v>150</v>
      </c>
      <c r="N49" s="303"/>
      <c r="O49" s="302">
        <v>42992</v>
      </c>
      <c r="P49" s="259"/>
      <c r="Y49" s="97"/>
      <c r="Z49" s="135">
        <f>SUM(AI51:AK51,AM51:AN51,AP51:AU51,AW51:BC51)</f>
        <v>0</v>
      </c>
      <c r="AA49" s="135">
        <f>SUM(BI51:CD51,CF51:CO51,CQ51)</f>
        <v>0</v>
      </c>
      <c r="AB49" s="135">
        <f t="shared" si="78"/>
        <v>0</v>
      </c>
      <c r="AC49" s="135">
        <f>SUM(EQ51:EX51,EZ51)</f>
        <v>0</v>
      </c>
      <c r="AD49" s="135">
        <f>SUM(FF51:FH51)</f>
        <v>0</v>
      </c>
      <c r="AF49" s="159" t="s">
        <v>217</v>
      </c>
      <c r="AG49" s="160" t="s">
        <v>218</v>
      </c>
      <c r="AH49" s="114">
        <f t="shared" si="417"/>
        <v>2</v>
      </c>
      <c r="AI49" s="191">
        <f t="shared" si="450"/>
        <v>0</v>
      </c>
      <c r="AJ49" s="191">
        <f t="shared" si="451"/>
        <v>0</v>
      </c>
      <c r="AK49" s="191">
        <f t="shared" si="452"/>
        <v>0</v>
      </c>
      <c r="AL49" s="136">
        <f t="shared" si="453"/>
        <v>0</v>
      </c>
      <c r="AM49" s="191">
        <f t="shared" si="454"/>
        <v>0</v>
      </c>
      <c r="AN49" s="191">
        <f t="shared" si="455"/>
        <v>0</v>
      </c>
      <c r="AO49" s="191">
        <f t="shared" si="456"/>
        <v>0</v>
      </c>
      <c r="AP49" s="191">
        <f t="shared" si="457"/>
        <v>0</v>
      </c>
      <c r="AQ49" s="191">
        <f t="shared" si="458"/>
        <v>0</v>
      </c>
      <c r="AR49" s="191">
        <f t="shared" si="459"/>
        <v>0</v>
      </c>
      <c r="AS49" s="259">
        <f t="shared" si="428"/>
        <v>0</v>
      </c>
      <c r="AT49" s="191">
        <f t="shared" si="460"/>
        <v>0</v>
      </c>
      <c r="AU49" s="191">
        <f t="shared" si="461"/>
        <v>0</v>
      </c>
      <c r="AV49" s="191">
        <f t="shared" si="462"/>
        <v>0</v>
      </c>
      <c r="AW49" s="191">
        <f t="shared" si="463"/>
        <v>0</v>
      </c>
      <c r="AX49" s="191">
        <f t="shared" si="464"/>
        <v>0</v>
      </c>
      <c r="AY49" s="191">
        <f t="shared" si="465"/>
        <v>0</v>
      </c>
      <c r="AZ49" s="191">
        <f t="shared" si="466"/>
        <v>0</v>
      </c>
      <c r="BA49" s="191">
        <f t="shared" si="467"/>
        <v>0</v>
      </c>
      <c r="BB49" s="191">
        <f t="shared" si="468"/>
        <v>0</v>
      </c>
      <c r="BC49" s="263">
        <f t="shared" si="438"/>
        <v>0</v>
      </c>
      <c r="BD49" s="259">
        <f t="shared" si="439"/>
        <v>0</v>
      </c>
      <c r="BI49" s="191">
        <f t="shared" si="335"/>
        <v>0</v>
      </c>
      <c r="BJ49" s="191">
        <f t="shared" si="336"/>
        <v>0</v>
      </c>
      <c r="BK49" s="191">
        <f t="shared" si="337"/>
        <v>0</v>
      </c>
      <c r="BL49" s="191">
        <f t="shared" si="338"/>
        <v>0</v>
      </c>
      <c r="BM49" s="191">
        <f t="shared" si="339"/>
        <v>0</v>
      </c>
      <c r="BN49" s="191">
        <f t="shared" si="340"/>
        <v>0</v>
      </c>
      <c r="BO49" s="259">
        <f t="shared" si="416"/>
        <v>0</v>
      </c>
      <c r="BP49" s="191">
        <f t="shared" si="341"/>
        <v>0</v>
      </c>
      <c r="BQ49" s="191">
        <f t="shared" si="342"/>
        <v>0</v>
      </c>
      <c r="BR49" s="259">
        <f t="shared" si="440"/>
        <v>0</v>
      </c>
      <c r="BS49" s="191">
        <f t="shared" si="343"/>
        <v>0</v>
      </c>
      <c r="BT49" s="191">
        <f t="shared" si="344"/>
        <v>0</v>
      </c>
      <c r="BU49" s="191">
        <f t="shared" si="345"/>
        <v>0</v>
      </c>
      <c r="BV49" s="259">
        <f t="shared" si="346"/>
        <v>0</v>
      </c>
      <c r="BW49" s="191">
        <f t="shared" si="347"/>
        <v>0</v>
      </c>
      <c r="BX49" s="191">
        <f t="shared" si="348"/>
        <v>0</v>
      </c>
      <c r="BY49" s="191">
        <f t="shared" si="349"/>
        <v>0</v>
      </c>
      <c r="BZ49" s="191">
        <f t="shared" si="350"/>
        <v>0</v>
      </c>
      <c r="CA49" s="191">
        <f t="shared" si="351"/>
        <v>0</v>
      </c>
      <c r="CB49" s="191">
        <f t="shared" si="352"/>
        <v>0</v>
      </c>
      <c r="CC49" s="191">
        <f t="shared" si="353"/>
        <v>0</v>
      </c>
      <c r="CD49" s="191">
        <f t="shared" si="354"/>
        <v>0</v>
      </c>
      <c r="CE49" s="191">
        <f t="shared" si="469"/>
        <v>0</v>
      </c>
      <c r="CF49" s="191">
        <f t="shared" si="355"/>
        <v>0</v>
      </c>
      <c r="CG49" s="191">
        <f t="shared" si="356"/>
        <v>0</v>
      </c>
      <c r="CH49" s="191">
        <f t="shared" si="357"/>
        <v>0</v>
      </c>
      <c r="CI49" s="191">
        <f t="shared" si="358"/>
        <v>2</v>
      </c>
      <c r="CJ49" s="191">
        <f t="shared" si="359"/>
        <v>0</v>
      </c>
      <c r="CK49" s="191">
        <f t="shared" si="360"/>
        <v>0</v>
      </c>
      <c r="CL49" s="191">
        <f t="shared" si="361"/>
        <v>0</v>
      </c>
      <c r="CM49" s="191">
        <f t="shared" si="362"/>
        <v>0</v>
      </c>
      <c r="CN49" s="191">
        <f t="shared" si="363"/>
        <v>0</v>
      </c>
      <c r="CO49" s="191">
        <f t="shared" si="364"/>
        <v>0</v>
      </c>
      <c r="CP49" s="191">
        <f t="shared" si="470"/>
        <v>0</v>
      </c>
      <c r="CQ49" s="191">
        <f t="shared" si="365"/>
        <v>0</v>
      </c>
      <c r="CW49" s="191">
        <f t="shared" si="366"/>
        <v>0</v>
      </c>
      <c r="CX49" s="191">
        <f t="shared" si="367"/>
        <v>0</v>
      </c>
      <c r="CY49" s="191">
        <f t="shared" si="368"/>
        <v>0</v>
      </c>
      <c r="CZ49" s="191">
        <f t="shared" si="369"/>
        <v>0</v>
      </c>
      <c r="DA49" s="191">
        <f t="shared" si="471"/>
        <v>0</v>
      </c>
      <c r="DB49" s="191">
        <f t="shared" si="370"/>
        <v>0</v>
      </c>
      <c r="DC49" s="191">
        <f t="shared" si="371"/>
        <v>0</v>
      </c>
      <c r="DD49" s="191">
        <f t="shared" si="372"/>
        <v>0</v>
      </c>
      <c r="DE49" s="191">
        <f t="shared" si="472"/>
        <v>0</v>
      </c>
      <c r="DF49" s="191">
        <f t="shared" si="373"/>
        <v>0</v>
      </c>
      <c r="DG49" s="191">
        <f t="shared" si="374"/>
        <v>0</v>
      </c>
      <c r="DH49" s="191">
        <f t="shared" si="375"/>
        <v>0</v>
      </c>
      <c r="DI49" s="191">
        <f t="shared" si="376"/>
        <v>0</v>
      </c>
      <c r="DJ49" s="191">
        <f t="shared" si="377"/>
        <v>0</v>
      </c>
      <c r="DK49" s="191">
        <f t="shared" si="378"/>
        <v>0</v>
      </c>
      <c r="DL49" s="191">
        <f t="shared" si="379"/>
        <v>0</v>
      </c>
      <c r="DM49" s="191">
        <f t="shared" si="380"/>
        <v>0</v>
      </c>
      <c r="DN49" s="191">
        <f t="shared" si="381"/>
        <v>0</v>
      </c>
      <c r="DO49" s="191">
        <f t="shared" si="382"/>
        <v>0</v>
      </c>
      <c r="DP49" s="191">
        <f t="shared" si="383"/>
        <v>0</v>
      </c>
      <c r="DQ49" s="259">
        <f>COUNTIFS($B:$B,"ELKINS PARK",$C:$C,"USCRI",$M:$M,AG49)</f>
        <v>0</v>
      </c>
      <c r="DR49" s="191">
        <f t="shared" si="384"/>
        <v>0</v>
      </c>
      <c r="DS49" s="191">
        <f t="shared" si="385"/>
        <v>0</v>
      </c>
      <c r="DT49" s="191">
        <f t="shared" si="386"/>
        <v>0</v>
      </c>
      <c r="DU49" s="191">
        <f t="shared" si="387"/>
        <v>0</v>
      </c>
      <c r="DV49" s="191">
        <f t="shared" si="388"/>
        <v>0</v>
      </c>
      <c r="DW49" s="191">
        <f t="shared" si="389"/>
        <v>0</v>
      </c>
      <c r="DX49" s="191">
        <f t="shared" si="390"/>
        <v>0</v>
      </c>
      <c r="DY49" s="191">
        <f t="shared" si="391"/>
        <v>0</v>
      </c>
      <c r="DZ49" s="191">
        <f t="shared" si="392"/>
        <v>0</v>
      </c>
      <c r="EA49" s="191">
        <f t="shared" si="393"/>
        <v>0</v>
      </c>
      <c r="EB49" s="191">
        <f t="shared" si="394"/>
        <v>0</v>
      </c>
      <c r="EC49" s="263">
        <f t="shared" si="445"/>
        <v>0</v>
      </c>
      <c r="ED49" s="191">
        <f t="shared" si="395"/>
        <v>0</v>
      </c>
      <c r="EE49" s="191">
        <f t="shared" si="396"/>
        <v>0</v>
      </c>
      <c r="EF49" s="191">
        <f t="shared" si="397"/>
        <v>0</v>
      </c>
      <c r="EG49" s="191">
        <f t="shared" si="398"/>
        <v>0</v>
      </c>
      <c r="EH49" s="191">
        <f t="shared" si="399"/>
        <v>0</v>
      </c>
      <c r="EI49" s="191">
        <f t="shared" si="400"/>
        <v>0</v>
      </c>
      <c r="EJ49" s="259">
        <f t="shared" si="114"/>
        <v>0</v>
      </c>
      <c r="EK49" s="191">
        <f t="shared" si="401"/>
        <v>0</v>
      </c>
      <c r="EL49" s="191">
        <f t="shared" si="402"/>
        <v>0</v>
      </c>
      <c r="EM49" s="259">
        <f t="shared" si="446"/>
        <v>0</v>
      </c>
      <c r="EN49" s="259">
        <f t="shared" si="403"/>
        <v>0</v>
      </c>
      <c r="EO49" s="259">
        <f t="shared" si="447"/>
        <v>0</v>
      </c>
      <c r="EQ49" s="191">
        <f t="shared" si="404"/>
        <v>0</v>
      </c>
      <c r="ER49" s="191">
        <f t="shared" si="405"/>
        <v>0</v>
      </c>
      <c r="ES49" s="191">
        <f t="shared" si="406"/>
        <v>0</v>
      </c>
      <c r="ET49" s="191">
        <f t="shared" si="407"/>
        <v>0</v>
      </c>
      <c r="EU49" s="191">
        <f t="shared" si="408"/>
        <v>0</v>
      </c>
      <c r="EV49" s="191">
        <f t="shared" si="409"/>
        <v>0</v>
      </c>
      <c r="EW49" s="191">
        <f t="shared" si="410"/>
        <v>0</v>
      </c>
      <c r="EX49" s="191">
        <f t="shared" si="411"/>
        <v>0</v>
      </c>
      <c r="EY49" s="191">
        <f t="shared" si="473"/>
        <v>0</v>
      </c>
      <c r="EZ49" s="191">
        <f t="shared" si="412"/>
        <v>0</v>
      </c>
      <c r="FF49" s="191">
        <f t="shared" si="413"/>
        <v>0</v>
      </c>
      <c r="FG49" s="191">
        <f t="shared" si="414"/>
        <v>0</v>
      </c>
      <c r="FH49" s="191">
        <f t="shared" si="415"/>
        <v>0</v>
      </c>
      <c r="FI49" s="191">
        <f t="shared" si="474"/>
        <v>0</v>
      </c>
      <c r="FL49" s="159" t="s">
        <v>217</v>
      </c>
      <c r="FM49" s="160" t="s">
        <v>218</v>
      </c>
    </row>
    <row r="50" spans="1:169" ht="15.75" thickBot="1" x14ac:dyDescent="0.3">
      <c r="A50" s="304">
        <v>48</v>
      </c>
      <c r="B50" s="299" t="s">
        <v>6</v>
      </c>
      <c r="C50" s="300" t="s">
        <v>3</v>
      </c>
      <c r="D50" s="299"/>
      <c r="E50" s="301"/>
      <c r="F50" s="301"/>
      <c r="G50" s="301"/>
      <c r="H50" s="299"/>
      <c r="I50" s="299"/>
      <c r="J50" s="299"/>
      <c r="K50" s="301"/>
      <c r="L50" s="302"/>
      <c r="M50" s="301" t="s">
        <v>150</v>
      </c>
      <c r="N50" s="303"/>
      <c r="O50" s="302">
        <v>42992</v>
      </c>
      <c r="P50" s="259"/>
      <c r="Y50" s="97"/>
      <c r="Z50" s="135">
        <f>SUM(AI52:AK52,AM52:AN52,AP52:AU52,AW52:BC52)</f>
        <v>0</v>
      </c>
      <c r="AA50" s="135">
        <f>SUM(BI52:CD52,CF52:CO52,CQ52)</f>
        <v>11</v>
      </c>
      <c r="AB50" s="135">
        <f t="shared" si="78"/>
        <v>0</v>
      </c>
      <c r="AC50" s="135">
        <f>SUM(EQ52:EX52,EZ52)</f>
        <v>0</v>
      </c>
      <c r="AD50" s="135">
        <f>SUM(FF52:FH52)</f>
        <v>0</v>
      </c>
      <c r="AF50" s="159" t="s">
        <v>219</v>
      </c>
      <c r="AG50" s="160" t="s">
        <v>220</v>
      </c>
      <c r="AH50" s="114">
        <f t="shared" si="417"/>
        <v>0</v>
      </c>
      <c r="AI50" s="191">
        <f t="shared" si="450"/>
        <v>0</v>
      </c>
      <c r="AJ50" s="191">
        <f t="shared" si="451"/>
        <v>0</v>
      </c>
      <c r="AK50" s="191">
        <f t="shared" si="452"/>
        <v>0</v>
      </c>
      <c r="AL50" s="136">
        <f t="shared" si="453"/>
        <v>0</v>
      </c>
      <c r="AM50" s="191">
        <f t="shared" si="454"/>
        <v>0</v>
      </c>
      <c r="AN50" s="191">
        <f t="shared" si="455"/>
        <v>0</v>
      </c>
      <c r="AO50" s="191">
        <f t="shared" si="456"/>
        <v>0</v>
      </c>
      <c r="AP50" s="191">
        <f t="shared" si="457"/>
        <v>0</v>
      </c>
      <c r="AQ50" s="191">
        <f t="shared" si="458"/>
        <v>0</v>
      </c>
      <c r="AR50" s="191">
        <f t="shared" si="459"/>
        <v>0</v>
      </c>
      <c r="AS50" s="259">
        <f t="shared" si="428"/>
        <v>0</v>
      </c>
      <c r="AT50" s="191">
        <f t="shared" si="460"/>
        <v>0</v>
      </c>
      <c r="AU50" s="191">
        <f t="shared" si="461"/>
        <v>0</v>
      </c>
      <c r="AV50" s="191">
        <f t="shared" si="462"/>
        <v>0</v>
      </c>
      <c r="AW50" s="191">
        <f t="shared" si="463"/>
        <v>0</v>
      </c>
      <c r="AX50" s="191">
        <f t="shared" si="464"/>
        <v>0</v>
      </c>
      <c r="AY50" s="191">
        <f t="shared" si="465"/>
        <v>0</v>
      </c>
      <c r="AZ50" s="191">
        <f t="shared" si="466"/>
        <v>0</v>
      </c>
      <c r="BA50" s="191">
        <f t="shared" si="467"/>
        <v>0</v>
      </c>
      <c r="BB50" s="191">
        <f t="shared" si="468"/>
        <v>0</v>
      </c>
      <c r="BC50" s="263">
        <f t="shared" si="438"/>
        <v>0</v>
      </c>
      <c r="BD50" s="259">
        <f t="shared" si="439"/>
        <v>0</v>
      </c>
      <c r="BI50" s="191">
        <f t="shared" si="335"/>
        <v>0</v>
      </c>
      <c r="BJ50" s="191">
        <f t="shared" si="336"/>
        <v>0</v>
      </c>
      <c r="BK50" s="191">
        <f t="shared" si="337"/>
        <v>0</v>
      </c>
      <c r="BL50" s="191">
        <f t="shared" si="338"/>
        <v>0</v>
      </c>
      <c r="BM50" s="191">
        <f t="shared" si="339"/>
        <v>0</v>
      </c>
      <c r="BN50" s="191">
        <f t="shared" si="340"/>
        <v>0</v>
      </c>
      <c r="BO50" s="259">
        <f t="shared" si="416"/>
        <v>0</v>
      </c>
      <c r="BP50" s="191">
        <f t="shared" si="341"/>
        <v>0</v>
      </c>
      <c r="BQ50" s="191">
        <f t="shared" si="342"/>
        <v>0</v>
      </c>
      <c r="BR50" s="259">
        <f t="shared" si="440"/>
        <v>0</v>
      </c>
      <c r="BS50" s="191">
        <f t="shared" si="343"/>
        <v>0</v>
      </c>
      <c r="BT50" s="191">
        <f t="shared" si="344"/>
        <v>0</v>
      </c>
      <c r="BU50" s="191">
        <f t="shared" si="345"/>
        <v>0</v>
      </c>
      <c r="BV50" s="259">
        <f t="shared" si="346"/>
        <v>0</v>
      </c>
      <c r="BW50" s="191">
        <f t="shared" si="347"/>
        <v>0</v>
      </c>
      <c r="BX50" s="191">
        <f t="shared" si="348"/>
        <v>0</v>
      </c>
      <c r="BY50" s="191">
        <f t="shared" si="349"/>
        <v>0</v>
      </c>
      <c r="BZ50" s="191">
        <f t="shared" si="350"/>
        <v>0</v>
      </c>
      <c r="CA50" s="191">
        <f t="shared" si="351"/>
        <v>0</v>
      </c>
      <c r="CB50" s="191">
        <f t="shared" si="352"/>
        <v>0</v>
      </c>
      <c r="CC50" s="191">
        <f t="shared" si="353"/>
        <v>0</v>
      </c>
      <c r="CD50" s="191">
        <f t="shared" si="354"/>
        <v>0</v>
      </c>
      <c r="CE50" s="191">
        <f t="shared" si="469"/>
        <v>0</v>
      </c>
      <c r="CF50" s="191">
        <f t="shared" si="355"/>
        <v>0</v>
      </c>
      <c r="CG50" s="191">
        <f t="shared" si="356"/>
        <v>0</v>
      </c>
      <c r="CH50" s="191">
        <f t="shared" si="357"/>
        <v>0</v>
      </c>
      <c r="CI50" s="191">
        <f t="shared" si="358"/>
        <v>0</v>
      </c>
      <c r="CJ50" s="191">
        <f t="shared" si="359"/>
        <v>0</v>
      </c>
      <c r="CK50" s="191">
        <f t="shared" si="360"/>
        <v>0</v>
      </c>
      <c r="CL50" s="191">
        <f t="shared" si="361"/>
        <v>0</v>
      </c>
      <c r="CM50" s="191">
        <f t="shared" si="362"/>
        <v>0</v>
      </c>
      <c r="CN50" s="191">
        <f t="shared" si="363"/>
        <v>0</v>
      </c>
      <c r="CO50" s="191">
        <f t="shared" si="364"/>
        <v>0</v>
      </c>
      <c r="CP50" s="191">
        <f t="shared" si="470"/>
        <v>0</v>
      </c>
      <c r="CQ50" s="191">
        <f t="shared" si="365"/>
        <v>0</v>
      </c>
      <c r="CW50" s="191">
        <f t="shared" si="366"/>
        <v>0</v>
      </c>
      <c r="CX50" s="191">
        <f t="shared" si="367"/>
        <v>0</v>
      </c>
      <c r="CY50" s="191">
        <f t="shared" si="368"/>
        <v>0</v>
      </c>
      <c r="CZ50" s="191">
        <f t="shared" si="369"/>
        <v>0</v>
      </c>
      <c r="DA50" s="191">
        <f t="shared" si="471"/>
        <v>0</v>
      </c>
      <c r="DB50" s="191">
        <f t="shared" si="370"/>
        <v>0</v>
      </c>
      <c r="DC50" s="191">
        <f t="shared" si="371"/>
        <v>0</v>
      </c>
      <c r="DD50" s="191">
        <f t="shared" si="372"/>
        <v>0</v>
      </c>
      <c r="DE50" s="191">
        <f t="shared" si="472"/>
        <v>0</v>
      </c>
      <c r="DF50" s="191">
        <f t="shared" si="373"/>
        <v>0</v>
      </c>
      <c r="DG50" s="191">
        <f t="shared" si="374"/>
        <v>0</v>
      </c>
      <c r="DH50" s="191">
        <f t="shared" si="375"/>
        <v>0</v>
      </c>
      <c r="DI50" s="191">
        <f t="shared" si="376"/>
        <v>0</v>
      </c>
      <c r="DJ50" s="191">
        <f t="shared" si="377"/>
        <v>0</v>
      </c>
      <c r="DK50" s="191">
        <f t="shared" si="378"/>
        <v>0</v>
      </c>
      <c r="DL50" s="191">
        <f t="shared" si="379"/>
        <v>0</v>
      </c>
      <c r="DM50" s="191">
        <f t="shared" si="380"/>
        <v>0</v>
      </c>
      <c r="DN50" s="191">
        <f t="shared" si="381"/>
        <v>0</v>
      </c>
      <c r="DO50" s="191">
        <f t="shared" si="382"/>
        <v>0</v>
      </c>
      <c r="DP50" s="191">
        <f t="shared" si="383"/>
        <v>0</v>
      </c>
      <c r="DQ50" s="259">
        <f>COUNTIFS($B:$B,"ELKINS PARK",$C:$C,"USCRI",$M:$M,AG50)</f>
        <v>0</v>
      </c>
      <c r="DR50" s="191">
        <f t="shared" si="384"/>
        <v>0</v>
      </c>
      <c r="DS50" s="191">
        <f t="shared" si="385"/>
        <v>0</v>
      </c>
      <c r="DT50" s="191">
        <f t="shared" si="386"/>
        <v>0</v>
      </c>
      <c r="DU50" s="191">
        <f t="shared" si="387"/>
        <v>0</v>
      </c>
      <c r="DV50" s="191">
        <f t="shared" si="388"/>
        <v>0</v>
      </c>
      <c r="DW50" s="191">
        <f t="shared" si="389"/>
        <v>0</v>
      </c>
      <c r="DX50" s="191">
        <f t="shared" si="390"/>
        <v>0</v>
      </c>
      <c r="DY50" s="191">
        <f t="shared" si="391"/>
        <v>0</v>
      </c>
      <c r="DZ50" s="191">
        <f t="shared" si="392"/>
        <v>0</v>
      </c>
      <c r="EA50" s="191">
        <f t="shared" si="393"/>
        <v>0</v>
      </c>
      <c r="EB50" s="191">
        <f t="shared" si="394"/>
        <v>0</v>
      </c>
      <c r="EC50" s="263">
        <f t="shared" si="445"/>
        <v>0</v>
      </c>
      <c r="ED50" s="191">
        <f t="shared" si="395"/>
        <v>0</v>
      </c>
      <c r="EE50" s="191">
        <f t="shared" si="396"/>
        <v>0</v>
      </c>
      <c r="EF50" s="191">
        <f t="shared" si="397"/>
        <v>0</v>
      </c>
      <c r="EG50" s="191">
        <f t="shared" si="398"/>
        <v>0</v>
      </c>
      <c r="EH50" s="191">
        <f t="shared" si="399"/>
        <v>0</v>
      </c>
      <c r="EI50" s="191">
        <f t="shared" si="400"/>
        <v>0</v>
      </c>
      <c r="EJ50" s="259">
        <f t="shared" si="114"/>
        <v>0</v>
      </c>
      <c r="EK50" s="191">
        <f t="shared" si="401"/>
        <v>0</v>
      </c>
      <c r="EL50" s="191">
        <f t="shared" si="402"/>
        <v>0</v>
      </c>
      <c r="EM50" s="259">
        <f t="shared" si="446"/>
        <v>0</v>
      </c>
      <c r="EN50" s="259">
        <f t="shared" si="403"/>
        <v>0</v>
      </c>
      <c r="EO50" s="259">
        <f t="shared" si="447"/>
        <v>0</v>
      </c>
      <c r="EQ50" s="191">
        <f t="shared" si="404"/>
        <v>0</v>
      </c>
      <c r="ER50" s="191">
        <f t="shared" si="405"/>
        <v>0</v>
      </c>
      <c r="ES50" s="191">
        <f t="shared" si="406"/>
        <v>0</v>
      </c>
      <c r="ET50" s="191">
        <f t="shared" si="407"/>
        <v>0</v>
      </c>
      <c r="EU50" s="191">
        <f t="shared" si="408"/>
        <v>0</v>
      </c>
      <c r="EV50" s="191">
        <f t="shared" si="409"/>
        <v>0</v>
      </c>
      <c r="EW50" s="191">
        <f t="shared" si="410"/>
        <v>0</v>
      </c>
      <c r="EX50" s="191">
        <f t="shared" si="411"/>
        <v>0</v>
      </c>
      <c r="EY50" s="191">
        <f t="shared" si="473"/>
        <v>0</v>
      </c>
      <c r="EZ50" s="191">
        <f t="shared" si="412"/>
        <v>0</v>
      </c>
      <c r="FF50" s="191">
        <f t="shared" si="413"/>
        <v>0</v>
      </c>
      <c r="FG50" s="191">
        <f t="shared" si="414"/>
        <v>0</v>
      </c>
      <c r="FH50" s="191">
        <f t="shared" si="415"/>
        <v>0</v>
      </c>
      <c r="FI50" s="191">
        <f t="shared" si="474"/>
        <v>0</v>
      </c>
      <c r="FL50" s="159" t="s">
        <v>219</v>
      </c>
      <c r="FM50" s="160" t="s">
        <v>220</v>
      </c>
    </row>
    <row r="51" spans="1:169" ht="15.75" thickBot="1" x14ac:dyDescent="0.3">
      <c r="A51" s="304">
        <v>49</v>
      </c>
      <c r="B51" s="299" t="s">
        <v>6</v>
      </c>
      <c r="C51" s="300" t="s">
        <v>3</v>
      </c>
      <c r="D51" s="299"/>
      <c r="E51" s="301"/>
      <c r="F51" s="301"/>
      <c r="G51" s="301"/>
      <c r="H51" s="299"/>
      <c r="I51" s="299"/>
      <c r="J51" s="299"/>
      <c r="K51" s="301"/>
      <c r="L51" s="302"/>
      <c r="M51" s="301" t="s">
        <v>150</v>
      </c>
      <c r="N51" s="303"/>
      <c r="O51" s="302">
        <v>42990</v>
      </c>
      <c r="P51" s="259"/>
      <c r="Y51" s="97"/>
      <c r="Z51" s="135">
        <f>SUM(AI53:AK53,AM53:AN53,AP53:AU53,AW53:BC53)</f>
        <v>0</v>
      </c>
      <c r="AA51" s="135">
        <f>SUM(BI53:CD53,CF53:CO53,CQ53)</f>
        <v>0</v>
      </c>
      <c r="AB51" s="135">
        <f t="shared" si="78"/>
        <v>0</v>
      </c>
      <c r="AC51" s="135">
        <f>SUM(EQ53:EX53,EZ53)</f>
        <v>1</v>
      </c>
      <c r="AD51" s="135">
        <f>SUM(FF53:FH53)</f>
        <v>0</v>
      </c>
      <c r="AF51" s="159" t="s">
        <v>221</v>
      </c>
      <c r="AG51" s="160" t="s">
        <v>222</v>
      </c>
      <c r="AH51" s="114">
        <f t="shared" si="417"/>
        <v>0</v>
      </c>
      <c r="AI51" s="191">
        <f t="shared" si="450"/>
        <v>0</v>
      </c>
      <c r="AJ51" s="191">
        <f t="shared" si="451"/>
        <v>0</v>
      </c>
      <c r="AK51" s="191">
        <f t="shared" si="452"/>
        <v>0</v>
      </c>
      <c r="AL51" s="136">
        <f t="shared" si="453"/>
        <v>0</v>
      </c>
      <c r="AM51" s="191">
        <f t="shared" si="454"/>
        <v>0</v>
      </c>
      <c r="AN51" s="191">
        <f t="shared" si="455"/>
        <v>0</v>
      </c>
      <c r="AO51" s="191">
        <f t="shared" si="456"/>
        <v>0</v>
      </c>
      <c r="AP51" s="191">
        <f t="shared" si="457"/>
        <v>0</v>
      </c>
      <c r="AQ51" s="191">
        <f t="shared" si="458"/>
        <v>0</v>
      </c>
      <c r="AR51" s="191">
        <f t="shared" si="459"/>
        <v>0</v>
      </c>
      <c r="AS51" s="259">
        <f t="shared" si="428"/>
        <v>0</v>
      </c>
      <c r="AT51" s="191">
        <f t="shared" si="460"/>
        <v>0</v>
      </c>
      <c r="AU51" s="191">
        <f t="shared" si="461"/>
        <v>0</v>
      </c>
      <c r="AV51" s="191">
        <f t="shared" si="462"/>
        <v>0</v>
      </c>
      <c r="AW51" s="191">
        <f t="shared" si="463"/>
        <v>0</v>
      </c>
      <c r="AX51" s="191">
        <f t="shared" si="464"/>
        <v>0</v>
      </c>
      <c r="AY51" s="191">
        <f t="shared" si="465"/>
        <v>0</v>
      </c>
      <c r="AZ51" s="191">
        <f t="shared" si="466"/>
        <v>0</v>
      </c>
      <c r="BA51" s="191">
        <f t="shared" si="467"/>
        <v>0</v>
      </c>
      <c r="BB51" s="191">
        <f t="shared" si="468"/>
        <v>0</v>
      </c>
      <c r="BC51" s="263">
        <f t="shared" si="438"/>
        <v>0</v>
      </c>
      <c r="BD51" s="259">
        <f t="shared" si="439"/>
        <v>0</v>
      </c>
      <c r="BI51" s="191">
        <f t="shared" si="335"/>
        <v>0</v>
      </c>
      <c r="BJ51" s="191">
        <f t="shared" si="336"/>
        <v>0</v>
      </c>
      <c r="BK51" s="191">
        <f t="shared" si="337"/>
        <v>0</v>
      </c>
      <c r="BL51" s="191">
        <f t="shared" si="338"/>
        <v>0</v>
      </c>
      <c r="BM51" s="191">
        <f t="shared" si="339"/>
        <v>0</v>
      </c>
      <c r="BN51" s="191">
        <f t="shared" si="340"/>
        <v>0</v>
      </c>
      <c r="BO51" s="259">
        <f t="shared" si="416"/>
        <v>0</v>
      </c>
      <c r="BP51" s="191">
        <f t="shared" si="341"/>
        <v>0</v>
      </c>
      <c r="BQ51" s="191">
        <f t="shared" si="342"/>
        <v>0</v>
      </c>
      <c r="BR51" s="259">
        <f t="shared" si="440"/>
        <v>0</v>
      </c>
      <c r="BS51" s="191">
        <f t="shared" si="343"/>
        <v>0</v>
      </c>
      <c r="BT51" s="191">
        <f t="shared" si="344"/>
        <v>0</v>
      </c>
      <c r="BU51" s="191">
        <f t="shared" si="345"/>
        <v>0</v>
      </c>
      <c r="BV51" s="259">
        <f t="shared" si="346"/>
        <v>0</v>
      </c>
      <c r="BW51" s="191">
        <f t="shared" si="347"/>
        <v>0</v>
      </c>
      <c r="BX51" s="191">
        <f t="shared" si="348"/>
        <v>0</v>
      </c>
      <c r="BY51" s="191">
        <f t="shared" si="349"/>
        <v>0</v>
      </c>
      <c r="BZ51" s="191">
        <f t="shared" si="350"/>
        <v>0</v>
      </c>
      <c r="CA51" s="191">
        <f t="shared" si="351"/>
        <v>0</v>
      </c>
      <c r="CB51" s="191">
        <f t="shared" si="352"/>
        <v>0</v>
      </c>
      <c r="CC51" s="191">
        <f t="shared" si="353"/>
        <v>0</v>
      </c>
      <c r="CD51" s="191">
        <f t="shared" si="354"/>
        <v>0</v>
      </c>
      <c r="CE51" s="191">
        <f t="shared" si="469"/>
        <v>0</v>
      </c>
      <c r="CF51" s="191">
        <f t="shared" si="355"/>
        <v>0</v>
      </c>
      <c r="CG51" s="191">
        <f t="shared" si="356"/>
        <v>0</v>
      </c>
      <c r="CH51" s="191">
        <f t="shared" si="357"/>
        <v>0</v>
      </c>
      <c r="CI51" s="191">
        <f t="shared" si="358"/>
        <v>0</v>
      </c>
      <c r="CJ51" s="191">
        <f t="shared" si="359"/>
        <v>0</v>
      </c>
      <c r="CK51" s="191">
        <f t="shared" si="360"/>
        <v>0</v>
      </c>
      <c r="CL51" s="191">
        <f t="shared" si="361"/>
        <v>0</v>
      </c>
      <c r="CM51" s="191">
        <f t="shared" si="362"/>
        <v>0</v>
      </c>
      <c r="CN51" s="191">
        <f t="shared" si="363"/>
        <v>0</v>
      </c>
      <c r="CO51" s="191">
        <f t="shared" si="364"/>
        <v>0</v>
      </c>
      <c r="CP51" s="191">
        <f t="shared" si="470"/>
        <v>0</v>
      </c>
      <c r="CQ51" s="191">
        <f t="shared" si="365"/>
        <v>0</v>
      </c>
      <c r="CW51" s="191">
        <f t="shared" si="366"/>
        <v>0</v>
      </c>
      <c r="CX51" s="191">
        <f t="shared" si="367"/>
        <v>0</v>
      </c>
      <c r="CY51" s="191">
        <f t="shared" si="368"/>
        <v>0</v>
      </c>
      <c r="CZ51" s="191">
        <f t="shared" si="369"/>
        <v>0</v>
      </c>
      <c r="DA51" s="191">
        <f t="shared" si="471"/>
        <v>0</v>
      </c>
      <c r="DB51" s="191">
        <f t="shared" si="370"/>
        <v>0</v>
      </c>
      <c r="DC51" s="191">
        <f t="shared" si="371"/>
        <v>0</v>
      </c>
      <c r="DD51" s="191">
        <f t="shared" si="372"/>
        <v>0</v>
      </c>
      <c r="DE51" s="191">
        <f t="shared" si="472"/>
        <v>0</v>
      </c>
      <c r="DF51" s="191">
        <f t="shared" si="373"/>
        <v>0</v>
      </c>
      <c r="DG51" s="191">
        <f t="shared" si="374"/>
        <v>0</v>
      </c>
      <c r="DH51" s="191">
        <f t="shared" si="375"/>
        <v>0</v>
      </c>
      <c r="DI51" s="191">
        <f t="shared" si="376"/>
        <v>0</v>
      </c>
      <c r="DJ51" s="191">
        <f t="shared" si="377"/>
        <v>0</v>
      </c>
      <c r="DK51" s="191">
        <f t="shared" si="378"/>
        <v>0</v>
      </c>
      <c r="DL51" s="191">
        <f t="shared" si="379"/>
        <v>0</v>
      </c>
      <c r="DM51" s="191">
        <f t="shared" si="380"/>
        <v>0</v>
      </c>
      <c r="DN51" s="191">
        <f t="shared" si="381"/>
        <v>0</v>
      </c>
      <c r="DO51" s="191">
        <f t="shared" si="382"/>
        <v>0</v>
      </c>
      <c r="DP51" s="191">
        <f t="shared" si="383"/>
        <v>0</v>
      </c>
      <c r="DQ51" s="259">
        <f>COUNTIFS($B:$B,"ELKINS PARK",$C:$C,"USCRI",$M:$M,AG51)</f>
        <v>0</v>
      </c>
      <c r="DR51" s="191">
        <f t="shared" si="384"/>
        <v>0</v>
      </c>
      <c r="DS51" s="191">
        <f t="shared" si="385"/>
        <v>0</v>
      </c>
      <c r="DT51" s="191">
        <f t="shared" si="386"/>
        <v>0</v>
      </c>
      <c r="DU51" s="191">
        <f t="shared" si="387"/>
        <v>0</v>
      </c>
      <c r="DV51" s="191">
        <f t="shared" si="388"/>
        <v>0</v>
      </c>
      <c r="DW51" s="191">
        <f t="shared" si="389"/>
        <v>0</v>
      </c>
      <c r="DX51" s="191">
        <f t="shared" si="390"/>
        <v>0</v>
      </c>
      <c r="DY51" s="191">
        <f t="shared" si="391"/>
        <v>0</v>
      </c>
      <c r="DZ51" s="191">
        <f t="shared" si="392"/>
        <v>0</v>
      </c>
      <c r="EA51" s="191">
        <f t="shared" si="393"/>
        <v>0</v>
      </c>
      <c r="EB51" s="191">
        <f t="shared" si="394"/>
        <v>0</v>
      </c>
      <c r="EC51" s="263">
        <f t="shared" si="445"/>
        <v>0</v>
      </c>
      <c r="ED51" s="191">
        <f t="shared" si="395"/>
        <v>0</v>
      </c>
      <c r="EE51" s="191">
        <f t="shared" si="396"/>
        <v>0</v>
      </c>
      <c r="EF51" s="191">
        <f t="shared" si="397"/>
        <v>0</v>
      </c>
      <c r="EG51" s="191">
        <f t="shared" si="398"/>
        <v>0</v>
      </c>
      <c r="EH51" s="191">
        <f t="shared" si="399"/>
        <v>0</v>
      </c>
      <c r="EI51" s="191">
        <f t="shared" si="400"/>
        <v>0</v>
      </c>
      <c r="EJ51" s="259">
        <f t="shared" si="114"/>
        <v>0</v>
      </c>
      <c r="EK51" s="191">
        <f t="shared" si="401"/>
        <v>0</v>
      </c>
      <c r="EL51" s="191">
        <f t="shared" si="402"/>
        <v>0</v>
      </c>
      <c r="EM51" s="259">
        <f t="shared" si="446"/>
        <v>0</v>
      </c>
      <c r="EN51" s="259">
        <f t="shared" si="403"/>
        <v>0</v>
      </c>
      <c r="EO51" s="259">
        <f t="shared" si="447"/>
        <v>0</v>
      </c>
      <c r="EQ51" s="191">
        <f t="shared" si="404"/>
        <v>0</v>
      </c>
      <c r="ER51" s="191">
        <f t="shared" si="405"/>
        <v>0</v>
      </c>
      <c r="ES51" s="191">
        <f t="shared" si="406"/>
        <v>0</v>
      </c>
      <c r="ET51" s="191">
        <f t="shared" si="407"/>
        <v>0</v>
      </c>
      <c r="EU51" s="191">
        <f t="shared" si="408"/>
        <v>0</v>
      </c>
      <c r="EV51" s="191">
        <f t="shared" si="409"/>
        <v>0</v>
      </c>
      <c r="EW51" s="191">
        <f t="shared" si="410"/>
        <v>0</v>
      </c>
      <c r="EX51" s="191">
        <f t="shared" si="411"/>
        <v>0</v>
      </c>
      <c r="EY51" s="191">
        <f t="shared" si="473"/>
        <v>0</v>
      </c>
      <c r="EZ51" s="191">
        <f t="shared" si="412"/>
        <v>0</v>
      </c>
      <c r="FF51" s="191">
        <f t="shared" si="413"/>
        <v>0</v>
      </c>
      <c r="FG51" s="191">
        <f t="shared" si="414"/>
        <v>0</v>
      </c>
      <c r="FH51" s="191">
        <f t="shared" si="415"/>
        <v>0</v>
      </c>
      <c r="FI51" s="191">
        <f t="shared" si="474"/>
        <v>0</v>
      </c>
      <c r="FL51" s="159" t="s">
        <v>221</v>
      </c>
      <c r="FM51" s="160" t="s">
        <v>222</v>
      </c>
    </row>
    <row r="52" spans="1:169" ht="15.75" thickBot="1" x14ac:dyDescent="0.3">
      <c r="A52" s="304">
        <v>50</v>
      </c>
      <c r="B52" s="299" t="s">
        <v>6</v>
      </c>
      <c r="C52" s="300" t="s">
        <v>3</v>
      </c>
      <c r="D52" s="299"/>
      <c r="E52" s="301"/>
      <c r="F52" s="301"/>
      <c r="G52" s="301"/>
      <c r="H52" s="299"/>
      <c r="I52" s="299"/>
      <c r="J52" s="299"/>
      <c r="K52" s="301"/>
      <c r="L52" s="302"/>
      <c r="M52" s="301" t="s">
        <v>150</v>
      </c>
      <c r="N52" s="303"/>
      <c r="O52" s="302">
        <v>42990</v>
      </c>
      <c r="P52" s="259"/>
      <c r="Y52" s="97"/>
      <c r="Z52" s="135">
        <f>SUM(AI54:AK54,AM54:AN54,AP54:AU54,AW54:BC54)</f>
        <v>0</v>
      </c>
      <c r="AA52" s="135">
        <f>SUM(BI54:CD54,CF54:CO54,CQ54)</f>
        <v>0</v>
      </c>
      <c r="AB52" s="135">
        <f t="shared" si="78"/>
        <v>0</v>
      </c>
      <c r="AC52" s="135">
        <f>SUM(EQ54:EX54,EZ54)</f>
        <v>0</v>
      </c>
      <c r="AD52" s="135">
        <f>SUM(FF54:FH54)</f>
        <v>0</v>
      </c>
      <c r="AF52" s="159" t="s">
        <v>224</v>
      </c>
      <c r="AG52" s="160" t="s">
        <v>136</v>
      </c>
      <c r="AH52" s="114">
        <f t="shared" si="417"/>
        <v>11</v>
      </c>
      <c r="AI52" s="191">
        <f t="shared" si="450"/>
        <v>0</v>
      </c>
      <c r="AJ52" s="191">
        <f t="shared" si="451"/>
        <v>0</v>
      </c>
      <c r="AK52" s="191">
        <f t="shared" si="452"/>
        <v>0</v>
      </c>
      <c r="AL52" s="136">
        <f t="shared" si="453"/>
        <v>0</v>
      </c>
      <c r="AM52" s="191">
        <f t="shared" si="454"/>
        <v>0</v>
      </c>
      <c r="AN52" s="191">
        <f t="shared" si="455"/>
        <v>0</v>
      </c>
      <c r="AO52" s="191">
        <f t="shared" si="456"/>
        <v>0</v>
      </c>
      <c r="AP52" s="191">
        <f t="shared" si="457"/>
        <v>0</v>
      </c>
      <c r="AQ52" s="191">
        <f t="shared" si="458"/>
        <v>0</v>
      </c>
      <c r="AR52" s="191">
        <f t="shared" si="459"/>
        <v>0</v>
      </c>
      <c r="AS52" s="259">
        <f t="shared" si="428"/>
        <v>0</v>
      </c>
      <c r="AT52" s="191">
        <f t="shared" si="460"/>
        <v>0</v>
      </c>
      <c r="AU52" s="191">
        <f t="shared" si="461"/>
        <v>0</v>
      </c>
      <c r="AV52" s="191">
        <f t="shared" si="462"/>
        <v>0</v>
      </c>
      <c r="AW52" s="191">
        <f t="shared" si="463"/>
        <v>0</v>
      </c>
      <c r="AX52" s="191">
        <f t="shared" si="464"/>
        <v>0</v>
      </c>
      <c r="AY52" s="191">
        <f t="shared" si="465"/>
        <v>0</v>
      </c>
      <c r="AZ52" s="191">
        <f t="shared" si="466"/>
        <v>0</v>
      </c>
      <c r="BA52" s="191">
        <f t="shared" si="467"/>
        <v>0</v>
      </c>
      <c r="BB52" s="191">
        <f t="shared" si="468"/>
        <v>0</v>
      </c>
      <c r="BC52" s="263">
        <f t="shared" si="438"/>
        <v>0</v>
      </c>
      <c r="BD52" s="259">
        <f t="shared" si="439"/>
        <v>0</v>
      </c>
      <c r="BI52" s="191">
        <f t="shared" si="335"/>
        <v>0</v>
      </c>
      <c r="BJ52" s="191">
        <f t="shared" si="336"/>
        <v>0</v>
      </c>
      <c r="BK52" s="191">
        <f t="shared" si="337"/>
        <v>0</v>
      </c>
      <c r="BL52" s="191">
        <f t="shared" si="338"/>
        <v>0</v>
      </c>
      <c r="BM52" s="191">
        <f t="shared" si="339"/>
        <v>0</v>
      </c>
      <c r="BN52" s="191">
        <f t="shared" si="340"/>
        <v>0</v>
      </c>
      <c r="BO52" s="259">
        <f t="shared" si="416"/>
        <v>0</v>
      </c>
      <c r="BP52" s="191">
        <f t="shared" si="341"/>
        <v>0</v>
      </c>
      <c r="BQ52" s="191">
        <f t="shared" si="342"/>
        <v>0</v>
      </c>
      <c r="BR52" s="259">
        <f t="shared" si="440"/>
        <v>0</v>
      </c>
      <c r="BS52" s="191">
        <f t="shared" si="343"/>
        <v>2</v>
      </c>
      <c r="BT52" s="191">
        <f t="shared" si="344"/>
        <v>0</v>
      </c>
      <c r="BU52" s="191">
        <f t="shared" si="345"/>
        <v>0</v>
      </c>
      <c r="BV52" s="259">
        <f t="shared" si="346"/>
        <v>0</v>
      </c>
      <c r="BW52" s="191">
        <f t="shared" si="347"/>
        <v>9</v>
      </c>
      <c r="BX52" s="191">
        <f t="shared" si="348"/>
        <v>0</v>
      </c>
      <c r="BY52" s="191">
        <f t="shared" si="349"/>
        <v>0</v>
      </c>
      <c r="BZ52" s="191">
        <f t="shared" si="350"/>
        <v>0</v>
      </c>
      <c r="CA52" s="191">
        <f t="shared" si="351"/>
        <v>0</v>
      </c>
      <c r="CB52" s="191">
        <f t="shared" si="352"/>
        <v>0</v>
      </c>
      <c r="CC52" s="191">
        <f t="shared" si="353"/>
        <v>0</v>
      </c>
      <c r="CD52" s="191">
        <f t="shared" si="354"/>
        <v>0</v>
      </c>
      <c r="CE52" s="191">
        <f t="shared" si="469"/>
        <v>11</v>
      </c>
      <c r="CF52" s="191">
        <f t="shared" si="355"/>
        <v>0</v>
      </c>
      <c r="CG52" s="191">
        <f t="shared" si="356"/>
        <v>0</v>
      </c>
      <c r="CH52" s="191">
        <f t="shared" si="357"/>
        <v>0</v>
      </c>
      <c r="CI52" s="191">
        <f t="shared" si="358"/>
        <v>0</v>
      </c>
      <c r="CJ52" s="191">
        <f t="shared" si="359"/>
        <v>0</v>
      </c>
      <c r="CK52" s="191">
        <f t="shared" si="360"/>
        <v>0</v>
      </c>
      <c r="CL52" s="191">
        <f t="shared" si="361"/>
        <v>0</v>
      </c>
      <c r="CM52" s="191">
        <f t="shared" si="362"/>
        <v>0</v>
      </c>
      <c r="CN52" s="191">
        <f t="shared" si="363"/>
        <v>0</v>
      </c>
      <c r="CO52" s="191">
        <f t="shared" si="364"/>
        <v>0</v>
      </c>
      <c r="CP52" s="191">
        <f t="shared" si="470"/>
        <v>0</v>
      </c>
      <c r="CQ52" s="191">
        <f t="shared" si="365"/>
        <v>0</v>
      </c>
      <c r="CW52" s="191">
        <f t="shared" si="366"/>
        <v>0</v>
      </c>
      <c r="CX52" s="191">
        <f t="shared" si="367"/>
        <v>0</v>
      </c>
      <c r="CY52" s="191">
        <f t="shared" si="368"/>
        <v>0</v>
      </c>
      <c r="CZ52" s="191">
        <f t="shared" si="369"/>
        <v>0</v>
      </c>
      <c r="DA52" s="191">
        <f t="shared" si="471"/>
        <v>0</v>
      </c>
      <c r="DB52" s="191">
        <f t="shared" si="370"/>
        <v>0</v>
      </c>
      <c r="DC52" s="191">
        <f t="shared" si="371"/>
        <v>0</v>
      </c>
      <c r="DD52" s="191">
        <f t="shared" si="372"/>
        <v>0</v>
      </c>
      <c r="DE52" s="191">
        <f t="shared" si="472"/>
        <v>0</v>
      </c>
      <c r="DF52" s="191">
        <f t="shared" si="373"/>
        <v>0</v>
      </c>
      <c r="DG52" s="191">
        <f t="shared" si="374"/>
        <v>0</v>
      </c>
      <c r="DH52" s="191">
        <f t="shared" si="375"/>
        <v>0</v>
      </c>
      <c r="DI52" s="191">
        <f t="shared" si="376"/>
        <v>0</v>
      </c>
      <c r="DJ52" s="191">
        <f t="shared" si="377"/>
        <v>0</v>
      </c>
      <c r="DK52" s="191">
        <f t="shared" si="378"/>
        <v>0</v>
      </c>
      <c r="DL52" s="191">
        <f t="shared" si="379"/>
        <v>0</v>
      </c>
      <c r="DM52" s="191">
        <f t="shared" si="380"/>
        <v>0</v>
      </c>
      <c r="DN52" s="191">
        <f t="shared" si="381"/>
        <v>0</v>
      </c>
      <c r="DO52" s="191">
        <f t="shared" si="382"/>
        <v>0</v>
      </c>
      <c r="DP52" s="191">
        <f t="shared" si="383"/>
        <v>0</v>
      </c>
      <c r="DQ52" s="259">
        <f>COUNTIFS($B:$B,"ELKINS PARK",$C:$C,"USCRI",$M:$M,AG52)</f>
        <v>0</v>
      </c>
      <c r="DR52" s="191">
        <f t="shared" si="384"/>
        <v>0</v>
      </c>
      <c r="DS52" s="191">
        <f t="shared" si="385"/>
        <v>0</v>
      </c>
      <c r="DT52" s="191">
        <f t="shared" si="386"/>
        <v>0</v>
      </c>
      <c r="DU52" s="191">
        <f t="shared" si="387"/>
        <v>0</v>
      </c>
      <c r="DV52" s="191">
        <f t="shared" si="388"/>
        <v>0</v>
      </c>
      <c r="DW52" s="191">
        <f t="shared" si="389"/>
        <v>0</v>
      </c>
      <c r="DX52" s="191">
        <f t="shared" si="390"/>
        <v>0</v>
      </c>
      <c r="DY52" s="191">
        <f t="shared" si="391"/>
        <v>0</v>
      </c>
      <c r="DZ52" s="191">
        <f t="shared" si="392"/>
        <v>0</v>
      </c>
      <c r="EA52" s="191">
        <f t="shared" si="393"/>
        <v>0</v>
      </c>
      <c r="EB52" s="191">
        <f t="shared" si="394"/>
        <v>0</v>
      </c>
      <c r="EC52" s="263">
        <f t="shared" si="445"/>
        <v>0</v>
      </c>
      <c r="ED52" s="191">
        <f t="shared" si="395"/>
        <v>0</v>
      </c>
      <c r="EE52" s="191">
        <f t="shared" si="396"/>
        <v>0</v>
      </c>
      <c r="EF52" s="191">
        <f t="shared" si="397"/>
        <v>0</v>
      </c>
      <c r="EG52" s="191">
        <f t="shared" si="398"/>
        <v>0</v>
      </c>
      <c r="EH52" s="191">
        <f t="shared" si="399"/>
        <v>0</v>
      </c>
      <c r="EI52" s="191">
        <f t="shared" si="400"/>
        <v>0</v>
      </c>
      <c r="EJ52" s="259">
        <f t="shared" si="114"/>
        <v>0</v>
      </c>
      <c r="EK52" s="191">
        <f t="shared" si="401"/>
        <v>0</v>
      </c>
      <c r="EL52" s="191">
        <f t="shared" si="402"/>
        <v>0</v>
      </c>
      <c r="EM52" s="259">
        <f t="shared" si="446"/>
        <v>0</v>
      </c>
      <c r="EN52" s="259">
        <f t="shared" si="403"/>
        <v>0</v>
      </c>
      <c r="EO52" s="259">
        <f t="shared" si="447"/>
        <v>0</v>
      </c>
      <c r="EQ52" s="191">
        <f t="shared" si="404"/>
        <v>0</v>
      </c>
      <c r="ER52" s="191">
        <f t="shared" si="405"/>
        <v>0</v>
      </c>
      <c r="ES52" s="191">
        <f t="shared" si="406"/>
        <v>0</v>
      </c>
      <c r="ET52" s="191">
        <f t="shared" si="407"/>
        <v>0</v>
      </c>
      <c r="EU52" s="191">
        <f t="shared" si="408"/>
        <v>0</v>
      </c>
      <c r="EV52" s="191">
        <f t="shared" si="409"/>
        <v>0</v>
      </c>
      <c r="EW52" s="191">
        <f t="shared" si="410"/>
        <v>0</v>
      </c>
      <c r="EX52" s="191">
        <f t="shared" si="411"/>
        <v>0</v>
      </c>
      <c r="EY52" s="191">
        <f t="shared" si="473"/>
        <v>0</v>
      </c>
      <c r="EZ52" s="191">
        <f t="shared" si="412"/>
        <v>0</v>
      </c>
      <c r="FF52" s="191">
        <f t="shared" si="413"/>
        <v>0</v>
      </c>
      <c r="FG52" s="191">
        <f t="shared" si="414"/>
        <v>0</v>
      </c>
      <c r="FH52" s="191">
        <f t="shared" si="415"/>
        <v>0</v>
      </c>
      <c r="FI52" s="191">
        <f t="shared" si="474"/>
        <v>0</v>
      </c>
      <c r="FL52" s="159" t="s">
        <v>224</v>
      </c>
      <c r="FM52" s="160" t="s">
        <v>136</v>
      </c>
    </row>
    <row r="53" spans="1:169" ht="15.75" thickBot="1" x14ac:dyDescent="0.3">
      <c r="A53" s="304">
        <v>51</v>
      </c>
      <c r="B53" s="299" t="s">
        <v>6</v>
      </c>
      <c r="C53" s="300" t="s">
        <v>3</v>
      </c>
      <c r="D53" s="299"/>
      <c r="E53" s="301"/>
      <c r="F53" s="301"/>
      <c r="G53" s="301"/>
      <c r="H53" s="299"/>
      <c r="I53" s="299"/>
      <c r="J53" s="299"/>
      <c r="K53" s="301"/>
      <c r="L53" s="302"/>
      <c r="M53" s="301" t="s">
        <v>150</v>
      </c>
      <c r="N53" s="303"/>
      <c r="O53" s="302">
        <v>42990</v>
      </c>
      <c r="P53" s="259"/>
      <c r="X53" s="107" t="s">
        <v>89</v>
      </c>
      <c r="Y53" s="97"/>
      <c r="Z53" s="135">
        <f>SUM(AI55:AK55,AM55:AN55,AP55:AU55,AW55:BC55)</f>
        <v>0</v>
      </c>
      <c r="AA53" s="135">
        <f>SUM(BI55:CD55,CF55:CO55,CQ55)</f>
        <v>0</v>
      </c>
      <c r="AB53" s="135">
        <f t="shared" si="78"/>
        <v>0</v>
      </c>
      <c r="AC53" s="135">
        <f>SUM(EQ55:EX55,EZ55)</f>
        <v>0</v>
      </c>
      <c r="AD53" s="135">
        <f>SUM(FF55:FH55)</f>
        <v>0</v>
      </c>
      <c r="AF53" s="159" t="s">
        <v>277</v>
      </c>
      <c r="AG53" s="160" t="s">
        <v>276</v>
      </c>
      <c r="AH53" s="114">
        <f t="shared" si="417"/>
        <v>1</v>
      </c>
      <c r="AI53" s="191">
        <f t="shared" si="450"/>
        <v>0</v>
      </c>
      <c r="AJ53" s="191">
        <f t="shared" si="451"/>
        <v>0</v>
      </c>
      <c r="AK53" s="191">
        <f t="shared" si="452"/>
        <v>0</v>
      </c>
      <c r="AL53" s="136">
        <f t="shared" si="453"/>
        <v>0</v>
      </c>
      <c r="AM53" s="191">
        <f t="shared" si="454"/>
        <v>0</v>
      </c>
      <c r="AN53" s="191">
        <f t="shared" si="455"/>
        <v>0</v>
      </c>
      <c r="AO53" s="191">
        <f t="shared" si="456"/>
        <v>0</v>
      </c>
      <c r="AP53" s="191">
        <f t="shared" si="457"/>
        <v>0</v>
      </c>
      <c r="AQ53" s="191">
        <f t="shared" si="458"/>
        <v>0</v>
      </c>
      <c r="AR53" s="191">
        <f t="shared" si="459"/>
        <v>0</v>
      </c>
      <c r="AS53" s="259">
        <f t="shared" si="428"/>
        <v>0</v>
      </c>
      <c r="AT53" s="191">
        <f t="shared" si="460"/>
        <v>0</v>
      </c>
      <c r="AU53" s="191">
        <f t="shared" si="461"/>
        <v>0</v>
      </c>
      <c r="AV53" s="191">
        <f t="shared" si="462"/>
        <v>0</v>
      </c>
      <c r="AW53" s="191">
        <f t="shared" si="463"/>
        <v>0</v>
      </c>
      <c r="AX53" s="191">
        <f t="shared" si="464"/>
        <v>0</v>
      </c>
      <c r="AY53" s="191">
        <f t="shared" si="465"/>
        <v>0</v>
      </c>
      <c r="AZ53" s="191">
        <f t="shared" si="466"/>
        <v>0</v>
      </c>
      <c r="BA53" s="191">
        <f t="shared" si="467"/>
        <v>0</v>
      </c>
      <c r="BB53" s="191">
        <f t="shared" si="468"/>
        <v>0</v>
      </c>
      <c r="BC53" s="263">
        <f t="shared" si="438"/>
        <v>0</v>
      </c>
      <c r="BD53" s="259">
        <f t="shared" si="439"/>
        <v>0</v>
      </c>
      <c r="BI53" s="191">
        <f t="shared" si="335"/>
        <v>0</v>
      </c>
      <c r="BJ53" s="191">
        <f t="shared" si="336"/>
        <v>0</v>
      </c>
      <c r="BK53" s="191">
        <f t="shared" si="337"/>
        <v>0</v>
      </c>
      <c r="BL53" s="191">
        <f t="shared" si="338"/>
        <v>0</v>
      </c>
      <c r="BM53" s="191">
        <f t="shared" si="339"/>
        <v>0</v>
      </c>
      <c r="BN53" s="191">
        <f t="shared" si="340"/>
        <v>0</v>
      </c>
      <c r="BO53" s="259">
        <f t="shared" si="416"/>
        <v>0</v>
      </c>
      <c r="BP53" s="191">
        <f t="shared" si="341"/>
        <v>0</v>
      </c>
      <c r="BQ53" s="191">
        <f t="shared" si="342"/>
        <v>0</v>
      </c>
      <c r="BR53" s="259">
        <f t="shared" si="440"/>
        <v>0</v>
      </c>
      <c r="BS53" s="191">
        <f t="shared" si="343"/>
        <v>0</v>
      </c>
      <c r="BT53" s="191">
        <f t="shared" si="344"/>
        <v>0</v>
      </c>
      <c r="BU53" s="191">
        <f t="shared" si="345"/>
        <v>0</v>
      </c>
      <c r="BV53" s="259">
        <f t="shared" si="346"/>
        <v>0</v>
      </c>
      <c r="BW53" s="191">
        <f t="shared" si="347"/>
        <v>0</v>
      </c>
      <c r="BX53" s="191">
        <f t="shared" si="348"/>
        <v>0</v>
      </c>
      <c r="BY53" s="191">
        <f t="shared" si="349"/>
        <v>0</v>
      </c>
      <c r="BZ53" s="191">
        <f t="shared" si="350"/>
        <v>0</v>
      </c>
      <c r="CA53" s="191">
        <f t="shared" si="351"/>
        <v>0</v>
      </c>
      <c r="CB53" s="191">
        <f t="shared" si="352"/>
        <v>0</v>
      </c>
      <c r="CC53" s="191">
        <f t="shared" si="353"/>
        <v>0</v>
      </c>
      <c r="CD53" s="191">
        <f t="shared" si="354"/>
        <v>0</v>
      </c>
      <c r="CE53" s="191">
        <f t="shared" si="469"/>
        <v>0</v>
      </c>
      <c r="CF53" s="191">
        <f t="shared" si="355"/>
        <v>0</v>
      </c>
      <c r="CG53" s="191">
        <f t="shared" si="356"/>
        <v>0</v>
      </c>
      <c r="CH53" s="191">
        <f t="shared" si="357"/>
        <v>0</v>
      </c>
      <c r="CI53" s="191">
        <f t="shared" si="358"/>
        <v>0</v>
      </c>
      <c r="CJ53" s="191">
        <f t="shared" si="359"/>
        <v>0</v>
      </c>
      <c r="CK53" s="191">
        <f t="shared" si="360"/>
        <v>0</v>
      </c>
      <c r="CL53" s="191">
        <f t="shared" si="361"/>
        <v>0</v>
      </c>
      <c r="CM53" s="191">
        <f t="shared" si="362"/>
        <v>0</v>
      </c>
      <c r="CN53" s="191">
        <f t="shared" si="363"/>
        <v>0</v>
      </c>
      <c r="CO53" s="191">
        <f t="shared" si="364"/>
        <v>0</v>
      </c>
      <c r="CP53" s="191">
        <f t="shared" si="470"/>
        <v>0</v>
      </c>
      <c r="CQ53" s="191">
        <f t="shared" si="365"/>
        <v>0</v>
      </c>
      <c r="CW53" s="191">
        <f t="shared" si="366"/>
        <v>0</v>
      </c>
      <c r="CX53" s="191">
        <f t="shared" si="367"/>
        <v>0</v>
      </c>
      <c r="CY53" s="191">
        <f t="shared" si="368"/>
        <v>0</v>
      </c>
      <c r="CZ53" s="191">
        <f t="shared" si="369"/>
        <v>0</v>
      </c>
      <c r="DA53" s="191">
        <f t="shared" si="471"/>
        <v>0</v>
      </c>
      <c r="DB53" s="191">
        <f t="shared" si="370"/>
        <v>0</v>
      </c>
      <c r="DC53" s="191">
        <f t="shared" si="371"/>
        <v>0</v>
      </c>
      <c r="DD53" s="191">
        <f t="shared" si="372"/>
        <v>0</v>
      </c>
      <c r="DE53" s="191">
        <f t="shared" si="472"/>
        <v>0</v>
      </c>
      <c r="DF53" s="191">
        <f t="shared" si="373"/>
        <v>0</v>
      </c>
      <c r="DG53" s="191">
        <f t="shared" si="374"/>
        <v>0</v>
      </c>
      <c r="DH53" s="191">
        <f t="shared" si="375"/>
        <v>0</v>
      </c>
      <c r="DI53" s="191">
        <f t="shared" si="376"/>
        <v>0</v>
      </c>
      <c r="DJ53" s="191">
        <f t="shared" si="377"/>
        <v>0</v>
      </c>
      <c r="DK53" s="191">
        <f t="shared" si="378"/>
        <v>0</v>
      </c>
      <c r="DL53" s="191">
        <f t="shared" si="379"/>
        <v>0</v>
      </c>
      <c r="DM53" s="191">
        <f t="shared" si="380"/>
        <v>0</v>
      </c>
      <c r="DN53" s="191">
        <f t="shared" si="381"/>
        <v>0</v>
      </c>
      <c r="DO53" s="191">
        <f t="shared" si="382"/>
        <v>0</v>
      </c>
      <c r="DP53" s="191">
        <f t="shared" si="383"/>
        <v>0</v>
      </c>
      <c r="DQ53" s="259">
        <f>COUNTIFS($B:$B,"ELKINS PARK",$C:$C,"USCRI",$M:$M,AG53)</f>
        <v>0</v>
      </c>
      <c r="DR53" s="191">
        <f t="shared" si="384"/>
        <v>0</v>
      </c>
      <c r="DS53" s="191">
        <f t="shared" si="385"/>
        <v>0</v>
      </c>
      <c r="DT53" s="191">
        <f t="shared" si="386"/>
        <v>0</v>
      </c>
      <c r="DU53" s="191">
        <f t="shared" si="387"/>
        <v>0</v>
      </c>
      <c r="DV53" s="191">
        <f t="shared" si="388"/>
        <v>0</v>
      </c>
      <c r="DW53" s="191">
        <f t="shared" si="389"/>
        <v>0</v>
      </c>
      <c r="DX53" s="191">
        <f t="shared" si="390"/>
        <v>0</v>
      </c>
      <c r="DY53" s="191">
        <f t="shared" si="391"/>
        <v>0</v>
      </c>
      <c r="DZ53" s="191">
        <f t="shared" si="392"/>
        <v>0</v>
      </c>
      <c r="EA53" s="191">
        <f t="shared" si="393"/>
        <v>0</v>
      </c>
      <c r="EB53" s="191">
        <f t="shared" si="394"/>
        <v>0</v>
      </c>
      <c r="EC53" s="263">
        <f t="shared" si="445"/>
        <v>0</v>
      </c>
      <c r="ED53" s="191">
        <f t="shared" si="395"/>
        <v>0</v>
      </c>
      <c r="EE53" s="191">
        <f t="shared" si="396"/>
        <v>0</v>
      </c>
      <c r="EF53" s="191">
        <f t="shared" si="397"/>
        <v>0</v>
      </c>
      <c r="EG53" s="191">
        <f t="shared" si="398"/>
        <v>0</v>
      </c>
      <c r="EH53" s="191">
        <f t="shared" si="399"/>
        <v>0</v>
      </c>
      <c r="EI53" s="191">
        <f t="shared" si="400"/>
        <v>0</v>
      </c>
      <c r="EJ53" s="259">
        <f t="shared" si="114"/>
        <v>0</v>
      </c>
      <c r="EK53" s="191">
        <f t="shared" si="401"/>
        <v>0</v>
      </c>
      <c r="EL53" s="191">
        <f t="shared" si="402"/>
        <v>0</v>
      </c>
      <c r="EM53" s="259">
        <f t="shared" si="446"/>
        <v>0</v>
      </c>
      <c r="EN53" s="259">
        <f t="shared" si="403"/>
        <v>0</v>
      </c>
      <c r="EO53" s="259">
        <f t="shared" si="447"/>
        <v>0</v>
      </c>
      <c r="EQ53" s="191">
        <f t="shared" si="404"/>
        <v>0</v>
      </c>
      <c r="ER53" s="191">
        <f t="shared" si="405"/>
        <v>0</v>
      </c>
      <c r="ES53" s="191">
        <f t="shared" si="406"/>
        <v>0</v>
      </c>
      <c r="ET53" s="191">
        <f t="shared" si="407"/>
        <v>0</v>
      </c>
      <c r="EU53" s="191">
        <f t="shared" si="408"/>
        <v>1</v>
      </c>
      <c r="EV53" s="191">
        <f t="shared" si="409"/>
        <v>0</v>
      </c>
      <c r="EW53" s="191">
        <f t="shared" si="410"/>
        <v>0</v>
      </c>
      <c r="EX53" s="191">
        <f t="shared" si="411"/>
        <v>0</v>
      </c>
      <c r="EY53" s="191">
        <f t="shared" si="473"/>
        <v>0</v>
      </c>
      <c r="EZ53" s="191">
        <f t="shared" si="412"/>
        <v>0</v>
      </c>
      <c r="FF53" s="191">
        <f t="shared" si="413"/>
        <v>0</v>
      </c>
      <c r="FG53" s="191">
        <f t="shared" si="414"/>
        <v>0</v>
      </c>
      <c r="FH53" s="191">
        <f t="shared" si="415"/>
        <v>0</v>
      </c>
      <c r="FI53" s="191">
        <f t="shared" si="474"/>
        <v>0</v>
      </c>
      <c r="FL53" s="159" t="s">
        <v>277</v>
      </c>
      <c r="FM53" s="160" t="s">
        <v>276</v>
      </c>
    </row>
    <row r="54" spans="1:169" ht="15.75" thickBot="1" x14ac:dyDescent="0.3">
      <c r="A54" s="304">
        <v>52</v>
      </c>
      <c r="B54" s="299" t="s">
        <v>8</v>
      </c>
      <c r="C54" s="300" t="s">
        <v>249</v>
      </c>
      <c r="D54" s="299"/>
      <c r="E54" s="301"/>
      <c r="F54" s="301"/>
      <c r="G54" s="301"/>
      <c r="H54" s="299"/>
      <c r="I54" s="299"/>
      <c r="J54" s="299"/>
      <c r="K54" s="301"/>
      <c r="L54" s="302"/>
      <c r="M54" s="301" t="s">
        <v>147</v>
      </c>
      <c r="N54" s="303"/>
      <c r="O54" s="302">
        <v>42992</v>
      </c>
      <c r="P54" s="259"/>
      <c r="X54" s="94"/>
      <c r="Y54" s="97"/>
      <c r="Z54" s="135">
        <f>SUM(AI56:AK56,AM56:AN56,AP56:AU56,AW56:BC56)</f>
        <v>0</v>
      </c>
      <c r="AA54" s="135">
        <f>SUM(BI56:CD56,CF56:CO56,CQ56)</f>
        <v>0</v>
      </c>
      <c r="AB54" s="135">
        <f t="shared" si="78"/>
        <v>0</v>
      </c>
      <c r="AC54" s="135">
        <f>SUM(EQ56:EX56,EZ56)</f>
        <v>0</v>
      </c>
      <c r="AD54" s="135">
        <f>SUM(FF56:FH56)</f>
        <v>0</v>
      </c>
      <c r="AF54" s="159" t="s">
        <v>225</v>
      </c>
      <c r="AG54" s="160" t="s">
        <v>226</v>
      </c>
      <c r="AH54" s="114">
        <f t="shared" si="417"/>
        <v>0</v>
      </c>
      <c r="AI54" s="191">
        <f t="shared" si="450"/>
        <v>0</v>
      </c>
      <c r="AJ54" s="191">
        <f t="shared" si="451"/>
        <v>0</v>
      </c>
      <c r="AK54" s="191">
        <f t="shared" si="452"/>
        <v>0</v>
      </c>
      <c r="AL54" s="136">
        <f t="shared" si="453"/>
        <v>0</v>
      </c>
      <c r="AM54" s="191">
        <f t="shared" si="454"/>
        <v>0</v>
      </c>
      <c r="AN54" s="191">
        <f t="shared" si="455"/>
        <v>0</v>
      </c>
      <c r="AO54" s="191">
        <f t="shared" si="456"/>
        <v>0</v>
      </c>
      <c r="AP54" s="191">
        <f t="shared" si="457"/>
        <v>0</v>
      </c>
      <c r="AQ54" s="191">
        <f t="shared" si="458"/>
        <v>0</v>
      </c>
      <c r="AR54" s="191">
        <f t="shared" si="459"/>
        <v>0</v>
      </c>
      <c r="AS54" s="259">
        <f t="shared" si="428"/>
        <v>0</v>
      </c>
      <c r="AT54" s="191">
        <f t="shared" si="460"/>
        <v>0</v>
      </c>
      <c r="AU54" s="191">
        <f t="shared" si="461"/>
        <v>0</v>
      </c>
      <c r="AV54" s="191">
        <f t="shared" si="462"/>
        <v>0</v>
      </c>
      <c r="AW54" s="191">
        <f t="shared" si="463"/>
        <v>0</v>
      </c>
      <c r="AX54" s="191">
        <f t="shared" si="464"/>
        <v>0</v>
      </c>
      <c r="AY54" s="191">
        <f t="shared" si="465"/>
        <v>0</v>
      </c>
      <c r="AZ54" s="191">
        <f t="shared" si="466"/>
        <v>0</v>
      </c>
      <c r="BA54" s="191">
        <f t="shared" si="467"/>
        <v>0</v>
      </c>
      <c r="BB54" s="191">
        <f t="shared" si="468"/>
        <v>0</v>
      </c>
      <c r="BC54" s="263">
        <f t="shared" si="438"/>
        <v>0</v>
      </c>
      <c r="BD54" s="259">
        <f t="shared" si="439"/>
        <v>0</v>
      </c>
      <c r="BI54" s="191">
        <f t="shared" si="335"/>
        <v>0</v>
      </c>
      <c r="BJ54" s="191">
        <f t="shared" si="336"/>
        <v>0</v>
      </c>
      <c r="BK54" s="191">
        <f t="shared" si="337"/>
        <v>0</v>
      </c>
      <c r="BL54" s="191">
        <f t="shared" si="338"/>
        <v>0</v>
      </c>
      <c r="BM54" s="191">
        <f t="shared" si="339"/>
        <v>0</v>
      </c>
      <c r="BN54" s="191">
        <f t="shared" si="340"/>
        <v>0</v>
      </c>
      <c r="BO54" s="259">
        <f t="shared" si="416"/>
        <v>0</v>
      </c>
      <c r="BP54" s="191">
        <f t="shared" si="341"/>
        <v>0</v>
      </c>
      <c r="BQ54" s="191">
        <f t="shared" si="342"/>
        <v>0</v>
      </c>
      <c r="BR54" s="259">
        <f t="shared" si="440"/>
        <v>0</v>
      </c>
      <c r="BS54" s="191">
        <f t="shared" si="343"/>
        <v>0</v>
      </c>
      <c r="BT54" s="191">
        <f t="shared" si="344"/>
        <v>0</v>
      </c>
      <c r="BU54" s="191">
        <f t="shared" si="345"/>
        <v>0</v>
      </c>
      <c r="BV54" s="259">
        <f t="shared" si="346"/>
        <v>0</v>
      </c>
      <c r="BW54" s="191">
        <f t="shared" si="347"/>
        <v>0</v>
      </c>
      <c r="BX54" s="191">
        <f t="shared" si="348"/>
        <v>0</v>
      </c>
      <c r="BY54" s="191">
        <f t="shared" si="349"/>
        <v>0</v>
      </c>
      <c r="BZ54" s="191">
        <f t="shared" si="350"/>
        <v>0</v>
      </c>
      <c r="CA54" s="191">
        <f t="shared" si="351"/>
        <v>0</v>
      </c>
      <c r="CB54" s="191">
        <f t="shared" si="352"/>
        <v>0</v>
      </c>
      <c r="CC54" s="191">
        <f t="shared" si="353"/>
        <v>0</v>
      </c>
      <c r="CD54" s="191">
        <f t="shared" si="354"/>
        <v>0</v>
      </c>
      <c r="CE54" s="191">
        <f t="shared" si="469"/>
        <v>0</v>
      </c>
      <c r="CF54" s="191">
        <f t="shared" si="355"/>
        <v>0</v>
      </c>
      <c r="CG54" s="191">
        <f t="shared" si="356"/>
        <v>0</v>
      </c>
      <c r="CH54" s="191">
        <f t="shared" si="357"/>
        <v>0</v>
      </c>
      <c r="CI54" s="191">
        <f t="shared" si="358"/>
        <v>0</v>
      </c>
      <c r="CJ54" s="191">
        <f t="shared" si="359"/>
        <v>0</v>
      </c>
      <c r="CK54" s="191">
        <f t="shared" si="360"/>
        <v>0</v>
      </c>
      <c r="CL54" s="191">
        <f t="shared" si="361"/>
        <v>0</v>
      </c>
      <c r="CM54" s="191">
        <f t="shared" si="362"/>
        <v>0</v>
      </c>
      <c r="CN54" s="191">
        <f t="shared" si="363"/>
        <v>0</v>
      </c>
      <c r="CO54" s="191">
        <f t="shared" si="364"/>
        <v>0</v>
      </c>
      <c r="CP54" s="191">
        <f t="shared" si="470"/>
        <v>0</v>
      </c>
      <c r="CQ54" s="191">
        <f t="shared" si="365"/>
        <v>0</v>
      </c>
      <c r="CW54" s="191">
        <f t="shared" si="366"/>
        <v>0</v>
      </c>
      <c r="CX54" s="191">
        <f t="shared" si="367"/>
        <v>0</v>
      </c>
      <c r="CY54" s="191">
        <f t="shared" si="368"/>
        <v>0</v>
      </c>
      <c r="CZ54" s="191">
        <f t="shared" si="369"/>
        <v>0</v>
      </c>
      <c r="DA54" s="191">
        <f t="shared" si="471"/>
        <v>0</v>
      </c>
      <c r="DB54" s="191">
        <f t="shared" si="370"/>
        <v>0</v>
      </c>
      <c r="DC54" s="191">
        <f t="shared" si="371"/>
        <v>0</v>
      </c>
      <c r="DD54" s="191">
        <f t="shared" si="372"/>
        <v>0</v>
      </c>
      <c r="DE54" s="191">
        <f t="shared" si="472"/>
        <v>0</v>
      </c>
      <c r="DF54" s="191">
        <f t="shared" si="373"/>
        <v>0</v>
      </c>
      <c r="DG54" s="191">
        <f t="shared" si="374"/>
        <v>0</v>
      </c>
      <c r="DH54" s="191">
        <f t="shared" si="375"/>
        <v>0</v>
      </c>
      <c r="DI54" s="191">
        <f t="shared" si="376"/>
        <v>0</v>
      </c>
      <c r="DJ54" s="191">
        <f t="shared" si="377"/>
        <v>0</v>
      </c>
      <c r="DK54" s="191">
        <f t="shared" si="378"/>
        <v>0</v>
      </c>
      <c r="DL54" s="191">
        <f t="shared" si="379"/>
        <v>0</v>
      </c>
      <c r="DM54" s="191">
        <f t="shared" si="380"/>
        <v>0</v>
      </c>
      <c r="DN54" s="191">
        <f t="shared" si="381"/>
        <v>0</v>
      </c>
      <c r="DO54" s="191">
        <f t="shared" si="382"/>
        <v>0</v>
      </c>
      <c r="DP54" s="191">
        <f t="shared" si="383"/>
        <v>0</v>
      </c>
      <c r="DQ54" s="259">
        <f>COUNTIFS($B:$B,"ELKINS PARK",$C:$C,"USCRI",$M:$M,AG54)</f>
        <v>0</v>
      </c>
      <c r="DR54" s="191">
        <f t="shared" si="384"/>
        <v>0</v>
      </c>
      <c r="DS54" s="191">
        <f t="shared" si="385"/>
        <v>0</v>
      </c>
      <c r="DT54" s="191">
        <f t="shared" si="386"/>
        <v>0</v>
      </c>
      <c r="DU54" s="191">
        <f t="shared" si="387"/>
        <v>0</v>
      </c>
      <c r="DV54" s="191">
        <f t="shared" si="388"/>
        <v>0</v>
      </c>
      <c r="DW54" s="191">
        <f t="shared" si="389"/>
        <v>0</v>
      </c>
      <c r="DX54" s="191">
        <f t="shared" si="390"/>
        <v>0</v>
      </c>
      <c r="DY54" s="191">
        <f t="shared" si="391"/>
        <v>0</v>
      </c>
      <c r="DZ54" s="191">
        <f t="shared" si="392"/>
        <v>0</v>
      </c>
      <c r="EA54" s="191">
        <f t="shared" si="393"/>
        <v>0</v>
      </c>
      <c r="EB54" s="191">
        <f t="shared" si="394"/>
        <v>0</v>
      </c>
      <c r="EC54" s="263">
        <f t="shared" si="445"/>
        <v>0</v>
      </c>
      <c r="ED54" s="191">
        <f t="shared" si="395"/>
        <v>0</v>
      </c>
      <c r="EE54" s="191">
        <f t="shared" si="396"/>
        <v>0</v>
      </c>
      <c r="EF54" s="191">
        <f t="shared" si="397"/>
        <v>0</v>
      </c>
      <c r="EG54" s="191">
        <f t="shared" si="398"/>
        <v>0</v>
      </c>
      <c r="EH54" s="191">
        <f t="shared" si="399"/>
        <v>0</v>
      </c>
      <c r="EI54" s="191">
        <f>SUM(DF54:EH54)</f>
        <v>0</v>
      </c>
      <c r="EJ54" s="259">
        <f t="shared" si="114"/>
        <v>0</v>
      </c>
      <c r="EK54" s="191">
        <f t="shared" si="401"/>
        <v>0</v>
      </c>
      <c r="EL54" s="191">
        <f t="shared" si="402"/>
        <v>0</v>
      </c>
      <c r="EM54" s="259">
        <f t="shared" si="446"/>
        <v>0</v>
      </c>
      <c r="EN54" s="259">
        <f t="shared" si="403"/>
        <v>0</v>
      </c>
      <c r="EO54" s="259">
        <f t="shared" si="447"/>
        <v>0</v>
      </c>
      <c r="EQ54" s="191">
        <f t="shared" si="404"/>
        <v>0</v>
      </c>
      <c r="ER54" s="191">
        <f t="shared" si="405"/>
        <v>0</v>
      </c>
      <c r="ES54" s="191">
        <f t="shared" si="406"/>
        <v>0</v>
      </c>
      <c r="ET54" s="191">
        <f t="shared" si="407"/>
        <v>0</v>
      </c>
      <c r="EU54" s="191">
        <f t="shared" si="408"/>
        <v>0</v>
      </c>
      <c r="EV54" s="191">
        <f t="shared" si="409"/>
        <v>0</v>
      </c>
      <c r="EW54" s="191">
        <f t="shared" si="410"/>
        <v>0</v>
      </c>
      <c r="EX54" s="191">
        <f t="shared" si="411"/>
        <v>0</v>
      </c>
      <c r="EY54" s="191">
        <f t="shared" si="473"/>
        <v>0</v>
      </c>
      <c r="EZ54" s="191">
        <f t="shared" si="412"/>
        <v>0</v>
      </c>
      <c r="FF54" s="191">
        <f t="shared" si="413"/>
        <v>0</v>
      </c>
      <c r="FG54" s="191">
        <f t="shared" si="414"/>
        <v>0</v>
      </c>
      <c r="FH54" s="191">
        <f t="shared" si="415"/>
        <v>0</v>
      </c>
      <c r="FI54" s="191">
        <f t="shared" si="474"/>
        <v>0</v>
      </c>
      <c r="FL54" s="159" t="s">
        <v>225</v>
      </c>
      <c r="FM54" s="160" t="s">
        <v>226</v>
      </c>
    </row>
    <row r="55" spans="1:169" ht="15.75" thickBot="1" x14ac:dyDescent="0.3">
      <c r="A55" s="304">
        <v>53</v>
      </c>
      <c r="B55" s="299" t="s">
        <v>8</v>
      </c>
      <c r="C55" s="300" t="s">
        <v>249</v>
      </c>
      <c r="D55" s="299"/>
      <c r="E55" s="301"/>
      <c r="F55" s="301"/>
      <c r="G55" s="301"/>
      <c r="H55" s="299"/>
      <c r="I55" s="299"/>
      <c r="J55" s="299"/>
      <c r="K55" s="301"/>
      <c r="L55" s="302"/>
      <c r="M55" s="301" t="s">
        <v>147</v>
      </c>
      <c r="N55" s="303"/>
      <c r="O55" s="302">
        <v>42992</v>
      </c>
      <c r="P55" s="259"/>
      <c r="X55" s="76" t="s">
        <v>3</v>
      </c>
      <c r="Y55" s="97"/>
      <c r="Z55" s="135">
        <f>SUM(AI57:AK57,AM57:AN57,AP57:AU57,AW57:BC57)</f>
        <v>0</v>
      </c>
      <c r="AA55" s="135">
        <f>SUM(BI57:CD57,CF57:CO57,CQ57)</f>
        <v>0</v>
      </c>
      <c r="AB55" s="135">
        <f t="shared" si="78"/>
        <v>0</v>
      </c>
      <c r="AC55" s="135">
        <f>SUM(EQ57:EX57,EZ57)</f>
        <v>0</v>
      </c>
      <c r="AD55" s="135">
        <f>SUM(FF57:FH57)</f>
        <v>0</v>
      </c>
      <c r="AF55" s="159" t="s">
        <v>227</v>
      </c>
      <c r="AG55" s="160" t="s">
        <v>228</v>
      </c>
      <c r="AH55" s="114">
        <f t="shared" si="417"/>
        <v>0</v>
      </c>
      <c r="AI55" s="191">
        <f t="shared" si="450"/>
        <v>0</v>
      </c>
      <c r="AJ55" s="191">
        <f t="shared" si="451"/>
        <v>0</v>
      </c>
      <c r="AK55" s="191">
        <f t="shared" si="452"/>
        <v>0</v>
      </c>
      <c r="AL55" s="136">
        <f t="shared" si="453"/>
        <v>0</v>
      </c>
      <c r="AM55" s="191">
        <f t="shared" si="454"/>
        <v>0</v>
      </c>
      <c r="AN55" s="191">
        <f t="shared" si="455"/>
        <v>0</v>
      </c>
      <c r="AO55" s="191">
        <f t="shared" si="456"/>
        <v>0</v>
      </c>
      <c r="AP55" s="191">
        <f t="shared" si="457"/>
        <v>0</v>
      </c>
      <c r="AQ55" s="191">
        <f t="shared" si="458"/>
        <v>0</v>
      </c>
      <c r="AR55" s="191">
        <f t="shared" si="459"/>
        <v>0</v>
      </c>
      <c r="AS55" s="259">
        <f t="shared" si="428"/>
        <v>0</v>
      </c>
      <c r="AT55" s="191">
        <f t="shared" si="460"/>
        <v>0</v>
      </c>
      <c r="AU55" s="191">
        <f t="shared" si="461"/>
        <v>0</v>
      </c>
      <c r="AV55" s="191">
        <f t="shared" si="462"/>
        <v>0</v>
      </c>
      <c r="AW55" s="191">
        <f t="shared" si="463"/>
        <v>0</v>
      </c>
      <c r="AX55" s="191">
        <f t="shared" si="464"/>
        <v>0</v>
      </c>
      <c r="AY55" s="191">
        <f t="shared" si="465"/>
        <v>0</v>
      </c>
      <c r="AZ55" s="191">
        <f t="shared" si="466"/>
        <v>0</v>
      </c>
      <c r="BA55" s="191">
        <f t="shared" si="467"/>
        <v>0</v>
      </c>
      <c r="BB55" s="191">
        <f t="shared" si="468"/>
        <v>0</v>
      </c>
      <c r="BC55" s="263">
        <f t="shared" si="438"/>
        <v>0</v>
      </c>
      <c r="BD55" s="259">
        <f t="shared" si="439"/>
        <v>0</v>
      </c>
      <c r="BI55" s="191">
        <f t="shared" si="335"/>
        <v>0</v>
      </c>
      <c r="BJ55" s="191">
        <f t="shared" si="336"/>
        <v>0</v>
      </c>
      <c r="BK55" s="191">
        <f t="shared" si="337"/>
        <v>0</v>
      </c>
      <c r="BL55" s="191">
        <f t="shared" si="338"/>
        <v>0</v>
      </c>
      <c r="BM55" s="191">
        <f t="shared" si="339"/>
        <v>0</v>
      </c>
      <c r="BN55" s="191">
        <f t="shared" si="340"/>
        <v>0</v>
      </c>
      <c r="BO55" s="259">
        <f t="shared" si="416"/>
        <v>0</v>
      </c>
      <c r="BP55" s="191">
        <f t="shared" si="341"/>
        <v>0</v>
      </c>
      <c r="BQ55" s="191">
        <f t="shared" si="342"/>
        <v>0</v>
      </c>
      <c r="BR55" s="259">
        <f t="shared" si="440"/>
        <v>0</v>
      </c>
      <c r="BS55" s="191">
        <f t="shared" si="343"/>
        <v>0</v>
      </c>
      <c r="BT55" s="191">
        <f t="shared" si="344"/>
        <v>0</v>
      </c>
      <c r="BU55" s="191">
        <f t="shared" si="345"/>
        <v>0</v>
      </c>
      <c r="BV55" s="259">
        <f t="shared" si="346"/>
        <v>0</v>
      </c>
      <c r="BW55" s="191">
        <f t="shared" si="347"/>
        <v>0</v>
      </c>
      <c r="BX55" s="191">
        <f t="shared" si="348"/>
        <v>0</v>
      </c>
      <c r="BY55" s="191">
        <f t="shared" si="349"/>
        <v>0</v>
      </c>
      <c r="BZ55" s="191">
        <f t="shared" si="350"/>
        <v>0</v>
      </c>
      <c r="CA55" s="191">
        <f t="shared" si="351"/>
        <v>0</v>
      </c>
      <c r="CB55" s="191">
        <f t="shared" si="352"/>
        <v>0</v>
      </c>
      <c r="CC55" s="191">
        <f t="shared" si="353"/>
        <v>0</v>
      </c>
      <c r="CD55" s="191">
        <f t="shared" si="354"/>
        <v>0</v>
      </c>
      <c r="CE55" s="191">
        <f t="shared" si="469"/>
        <v>0</v>
      </c>
      <c r="CF55" s="191">
        <f t="shared" si="355"/>
        <v>0</v>
      </c>
      <c r="CG55" s="191">
        <f t="shared" si="356"/>
        <v>0</v>
      </c>
      <c r="CH55" s="191">
        <f t="shared" si="357"/>
        <v>0</v>
      </c>
      <c r="CI55" s="191">
        <f t="shared" si="358"/>
        <v>0</v>
      </c>
      <c r="CJ55" s="191">
        <f t="shared" si="359"/>
        <v>0</v>
      </c>
      <c r="CK55" s="191">
        <f t="shared" si="360"/>
        <v>0</v>
      </c>
      <c r="CL55" s="191">
        <f t="shared" si="361"/>
        <v>0</v>
      </c>
      <c r="CM55" s="191">
        <f t="shared" si="362"/>
        <v>0</v>
      </c>
      <c r="CN55" s="191">
        <f t="shared" si="363"/>
        <v>0</v>
      </c>
      <c r="CO55" s="191">
        <f t="shared" si="364"/>
        <v>0</v>
      </c>
      <c r="CP55" s="191">
        <f t="shared" si="470"/>
        <v>0</v>
      </c>
      <c r="CQ55" s="191">
        <f t="shared" si="365"/>
        <v>0</v>
      </c>
      <c r="CW55" s="191">
        <f t="shared" si="366"/>
        <v>0</v>
      </c>
      <c r="CX55" s="191">
        <f t="shared" si="367"/>
        <v>0</v>
      </c>
      <c r="CY55" s="191">
        <f t="shared" si="368"/>
        <v>0</v>
      </c>
      <c r="CZ55" s="191">
        <f t="shared" si="369"/>
        <v>0</v>
      </c>
      <c r="DA55" s="191">
        <f t="shared" si="471"/>
        <v>0</v>
      </c>
      <c r="DB55" s="191">
        <f t="shared" si="370"/>
        <v>0</v>
      </c>
      <c r="DC55" s="191">
        <f t="shared" si="371"/>
        <v>0</v>
      </c>
      <c r="DD55" s="191">
        <f t="shared" si="372"/>
        <v>0</v>
      </c>
      <c r="DE55" s="191">
        <f t="shared" si="472"/>
        <v>0</v>
      </c>
      <c r="DF55" s="191">
        <f t="shared" si="373"/>
        <v>0</v>
      </c>
      <c r="DG55" s="191">
        <f t="shared" si="374"/>
        <v>0</v>
      </c>
      <c r="DH55" s="191">
        <f t="shared" si="375"/>
        <v>0</v>
      </c>
      <c r="DI55" s="191">
        <f t="shared" si="376"/>
        <v>0</v>
      </c>
      <c r="DJ55" s="191">
        <f t="shared" si="377"/>
        <v>0</v>
      </c>
      <c r="DK55" s="191">
        <f t="shared" si="378"/>
        <v>0</v>
      </c>
      <c r="DL55" s="191">
        <f t="shared" si="379"/>
        <v>0</v>
      </c>
      <c r="DM55" s="191">
        <f t="shared" si="380"/>
        <v>0</v>
      </c>
      <c r="DN55" s="191">
        <f t="shared" si="381"/>
        <v>0</v>
      </c>
      <c r="DO55" s="191">
        <f t="shared" si="382"/>
        <v>0</v>
      </c>
      <c r="DP55" s="191">
        <f t="shared" si="383"/>
        <v>0</v>
      </c>
      <c r="DQ55" s="259">
        <f>COUNTIFS($B:$B,"ELKINS PARK",$C:$C,"USCRI",$M:$M,AG55)</f>
        <v>0</v>
      </c>
      <c r="DR55" s="191">
        <f t="shared" si="384"/>
        <v>0</v>
      </c>
      <c r="DS55" s="191">
        <f t="shared" si="385"/>
        <v>0</v>
      </c>
      <c r="DT55" s="191">
        <f t="shared" si="386"/>
        <v>0</v>
      </c>
      <c r="DU55" s="191">
        <f t="shared" si="387"/>
        <v>0</v>
      </c>
      <c r="DV55" s="191">
        <f t="shared" si="388"/>
        <v>0</v>
      </c>
      <c r="DW55" s="191">
        <f t="shared" si="389"/>
        <v>0</v>
      </c>
      <c r="DX55" s="191">
        <f t="shared" si="390"/>
        <v>0</v>
      </c>
      <c r="DY55" s="191">
        <f t="shared" si="391"/>
        <v>0</v>
      </c>
      <c r="DZ55" s="191">
        <f t="shared" si="392"/>
        <v>0</v>
      </c>
      <c r="EA55" s="191">
        <f t="shared" si="393"/>
        <v>0</v>
      </c>
      <c r="EB55" s="191">
        <f t="shared" si="394"/>
        <v>0</v>
      </c>
      <c r="EC55" s="263">
        <f t="shared" si="445"/>
        <v>0</v>
      </c>
      <c r="ED55" s="191">
        <f t="shared" si="395"/>
        <v>0</v>
      </c>
      <c r="EE55" s="191">
        <f t="shared" si="396"/>
        <v>0</v>
      </c>
      <c r="EF55" s="191">
        <f t="shared" si="397"/>
        <v>0</v>
      </c>
      <c r="EG55" s="191">
        <f t="shared" si="398"/>
        <v>0</v>
      </c>
      <c r="EH55" s="191">
        <f t="shared" si="399"/>
        <v>0</v>
      </c>
      <c r="EI55" s="191">
        <f t="shared" si="400"/>
        <v>0</v>
      </c>
      <c r="EJ55" s="259">
        <f t="shared" si="114"/>
        <v>0</v>
      </c>
      <c r="EK55" s="191">
        <f t="shared" si="401"/>
        <v>0</v>
      </c>
      <c r="EL55" s="191">
        <f t="shared" si="402"/>
        <v>0</v>
      </c>
      <c r="EM55" s="259">
        <f t="shared" si="446"/>
        <v>0</v>
      </c>
      <c r="EN55" s="259">
        <f t="shared" si="403"/>
        <v>0</v>
      </c>
      <c r="EO55" s="259">
        <f t="shared" si="447"/>
        <v>0</v>
      </c>
      <c r="EQ55" s="191">
        <f t="shared" si="404"/>
        <v>0</v>
      </c>
      <c r="ER55" s="191">
        <f t="shared" si="405"/>
        <v>0</v>
      </c>
      <c r="ES55" s="191">
        <f t="shared" si="406"/>
        <v>0</v>
      </c>
      <c r="ET55" s="191">
        <f t="shared" si="407"/>
        <v>0</v>
      </c>
      <c r="EU55" s="191">
        <f t="shared" si="408"/>
        <v>0</v>
      </c>
      <c r="EV55" s="191">
        <f t="shared" si="409"/>
        <v>0</v>
      </c>
      <c r="EW55" s="191">
        <f t="shared" si="410"/>
        <v>0</v>
      </c>
      <c r="EX55" s="191">
        <f t="shared" si="411"/>
        <v>0</v>
      </c>
      <c r="EY55" s="191">
        <f t="shared" si="473"/>
        <v>0</v>
      </c>
      <c r="EZ55" s="191">
        <f t="shared" si="412"/>
        <v>0</v>
      </c>
      <c r="FF55" s="191">
        <f t="shared" si="413"/>
        <v>0</v>
      </c>
      <c r="FG55" s="191">
        <f t="shared" si="414"/>
        <v>0</v>
      </c>
      <c r="FH55" s="191">
        <f t="shared" si="415"/>
        <v>0</v>
      </c>
      <c r="FI55" s="191">
        <f t="shared" si="474"/>
        <v>0</v>
      </c>
      <c r="FL55" s="159" t="s">
        <v>227</v>
      </c>
      <c r="FM55" s="160" t="s">
        <v>228</v>
      </c>
    </row>
    <row r="56" spans="1:169" ht="15.75" thickBot="1" x14ac:dyDescent="0.3">
      <c r="A56" s="304">
        <v>54</v>
      </c>
      <c r="B56" s="299" t="s">
        <v>8</v>
      </c>
      <c r="C56" s="300" t="s">
        <v>249</v>
      </c>
      <c r="D56" s="299"/>
      <c r="E56" s="301"/>
      <c r="F56" s="301"/>
      <c r="G56" s="301"/>
      <c r="H56" s="299"/>
      <c r="I56" s="299"/>
      <c r="J56" s="299"/>
      <c r="K56" s="301"/>
      <c r="L56" s="302"/>
      <c r="M56" s="301" t="s">
        <v>147</v>
      </c>
      <c r="N56" s="303"/>
      <c r="O56" s="302">
        <v>42992</v>
      </c>
      <c r="P56" s="259"/>
      <c r="X56" s="84" t="s">
        <v>119</v>
      </c>
      <c r="Y56" s="97">
        <f>COUNTIFS($B:$B,"BOALSBURG",$C:$C,"USCCB")</f>
        <v>0</v>
      </c>
      <c r="Z56" s="135">
        <f>SUM(AI58:AK58,AM58:AN58,AP58:AU58,AW58:BC58)</f>
        <v>0</v>
      </c>
      <c r="AA56" s="135">
        <f>SUM(BI58:CD58,CF58:CO58,CQ58)</f>
        <v>0</v>
      </c>
      <c r="AB56" s="135">
        <f t="shared" si="78"/>
        <v>0</v>
      </c>
      <c r="AC56" s="135">
        <f>SUM(EQ58:EX58,EZ58)</f>
        <v>0</v>
      </c>
      <c r="AD56" s="135">
        <f>SUM(FF58:FH58)</f>
        <v>0</v>
      </c>
      <c r="AF56" s="159" t="s">
        <v>229</v>
      </c>
      <c r="AG56" s="160" t="s">
        <v>230</v>
      </c>
      <c r="AH56" s="114">
        <f t="shared" si="417"/>
        <v>0</v>
      </c>
      <c r="AI56" s="191">
        <f t="shared" si="450"/>
        <v>0</v>
      </c>
      <c r="AJ56" s="191">
        <f t="shared" si="451"/>
        <v>0</v>
      </c>
      <c r="AK56" s="191">
        <f t="shared" si="452"/>
        <v>0</v>
      </c>
      <c r="AL56" s="136">
        <f t="shared" si="453"/>
        <v>0</v>
      </c>
      <c r="AM56" s="191">
        <f t="shared" si="454"/>
        <v>0</v>
      </c>
      <c r="AN56" s="191">
        <f t="shared" si="455"/>
        <v>0</v>
      </c>
      <c r="AO56" s="191">
        <f t="shared" si="456"/>
        <v>0</v>
      </c>
      <c r="AP56" s="191">
        <f t="shared" si="457"/>
        <v>0</v>
      </c>
      <c r="AQ56" s="191">
        <f t="shared" si="458"/>
        <v>0</v>
      </c>
      <c r="AR56" s="191">
        <f t="shared" si="459"/>
        <v>0</v>
      </c>
      <c r="AS56" s="259">
        <f t="shared" si="428"/>
        <v>0</v>
      </c>
      <c r="AT56" s="191">
        <f t="shared" si="460"/>
        <v>0</v>
      </c>
      <c r="AU56" s="191">
        <f t="shared" si="461"/>
        <v>0</v>
      </c>
      <c r="AV56" s="191">
        <f t="shared" si="462"/>
        <v>0</v>
      </c>
      <c r="AW56" s="191">
        <f t="shared" si="463"/>
        <v>0</v>
      </c>
      <c r="AX56" s="191">
        <f t="shared" si="464"/>
        <v>0</v>
      </c>
      <c r="AY56" s="191">
        <f t="shared" si="465"/>
        <v>0</v>
      </c>
      <c r="AZ56" s="191">
        <f t="shared" si="466"/>
        <v>0</v>
      </c>
      <c r="BA56" s="191">
        <f t="shared" si="467"/>
        <v>0</v>
      </c>
      <c r="BB56" s="191">
        <f t="shared" si="468"/>
        <v>0</v>
      </c>
      <c r="BC56" s="263">
        <f t="shared" si="438"/>
        <v>0</v>
      </c>
      <c r="BD56" s="259">
        <f t="shared" si="439"/>
        <v>0</v>
      </c>
      <c r="BI56" s="191">
        <f t="shared" si="335"/>
        <v>0</v>
      </c>
      <c r="BJ56" s="191">
        <f t="shared" si="336"/>
        <v>0</v>
      </c>
      <c r="BK56" s="191">
        <f t="shared" si="337"/>
        <v>0</v>
      </c>
      <c r="BL56" s="191">
        <f t="shared" si="338"/>
        <v>0</v>
      </c>
      <c r="BM56" s="191">
        <f t="shared" si="339"/>
        <v>0</v>
      </c>
      <c r="BN56" s="191">
        <f t="shared" si="340"/>
        <v>0</v>
      </c>
      <c r="BO56" s="259">
        <f t="shared" si="416"/>
        <v>0</v>
      </c>
      <c r="BP56" s="191">
        <f t="shared" si="341"/>
        <v>0</v>
      </c>
      <c r="BQ56" s="191">
        <f t="shared" si="342"/>
        <v>0</v>
      </c>
      <c r="BR56" s="259">
        <f t="shared" si="440"/>
        <v>0</v>
      </c>
      <c r="BS56" s="191">
        <f t="shared" si="343"/>
        <v>0</v>
      </c>
      <c r="BT56" s="191">
        <f t="shared" si="344"/>
        <v>0</v>
      </c>
      <c r="BU56" s="191">
        <f t="shared" si="345"/>
        <v>0</v>
      </c>
      <c r="BV56" s="259">
        <f t="shared" si="346"/>
        <v>0</v>
      </c>
      <c r="BW56" s="191">
        <f t="shared" si="347"/>
        <v>0</v>
      </c>
      <c r="BX56" s="191">
        <f t="shared" si="348"/>
        <v>0</v>
      </c>
      <c r="BY56" s="191">
        <f t="shared" si="349"/>
        <v>0</v>
      </c>
      <c r="BZ56" s="191">
        <f t="shared" si="350"/>
        <v>0</v>
      </c>
      <c r="CA56" s="191">
        <f t="shared" si="351"/>
        <v>0</v>
      </c>
      <c r="CB56" s="191">
        <f t="shared" si="352"/>
        <v>0</v>
      </c>
      <c r="CC56" s="191">
        <f t="shared" si="353"/>
        <v>0</v>
      </c>
      <c r="CD56" s="191">
        <f t="shared" si="354"/>
        <v>0</v>
      </c>
      <c r="CE56" s="191">
        <f t="shared" si="469"/>
        <v>0</v>
      </c>
      <c r="CF56" s="191">
        <f t="shared" si="355"/>
        <v>0</v>
      </c>
      <c r="CG56" s="191">
        <f t="shared" si="356"/>
        <v>0</v>
      </c>
      <c r="CH56" s="191">
        <f t="shared" si="357"/>
        <v>0</v>
      </c>
      <c r="CI56" s="191">
        <f t="shared" si="358"/>
        <v>0</v>
      </c>
      <c r="CJ56" s="191">
        <f t="shared" si="359"/>
        <v>0</v>
      </c>
      <c r="CK56" s="191">
        <f t="shared" si="360"/>
        <v>0</v>
      </c>
      <c r="CL56" s="191">
        <f t="shared" si="361"/>
        <v>0</v>
      </c>
      <c r="CM56" s="191">
        <f t="shared" si="362"/>
        <v>0</v>
      </c>
      <c r="CN56" s="191">
        <f t="shared" si="363"/>
        <v>0</v>
      </c>
      <c r="CO56" s="191">
        <f t="shared" si="364"/>
        <v>0</v>
      </c>
      <c r="CP56" s="191">
        <f t="shared" si="470"/>
        <v>0</v>
      </c>
      <c r="CQ56" s="191">
        <f t="shared" si="365"/>
        <v>0</v>
      </c>
      <c r="CW56" s="191">
        <f t="shared" si="366"/>
        <v>0</v>
      </c>
      <c r="CX56" s="191">
        <f t="shared" si="367"/>
        <v>0</v>
      </c>
      <c r="CY56" s="191">
        <f t="shared" si="368"/>
        <v>0</v>
      </c>
      <c r="CZ56" s="191">
        <f t="shared" si="369"/>
        <v>0</v>
      </c>
      <c r="DA56" s="191">
        <f t="shared" si="471"/>
        <v>0</v>
      </c>
      <c r="DB56" s="191">
        <f t="shared" si="370"/>
        <v>0</v>
      </c>
      <c r="DC56" s="191">
        <f t="shared" si="371"/>
        <v>0</v>
      </c>
      <c r="DD56" s="191">
        <f t="shared" si="372"/>
        <v>0</v>
      </c>
      <c r="DE56" s="191">
        <f t="shared" si="472"/>
        <v>0</v>
      </c>
      <c r="DF56" s="191">
        <f t="shared" si="373"/>
        <v>0</v>
      </c>
      <c r="DG56" s="191">
        <f t="shared" si="374"/>
        <v>0</v>
      </c>
      <c r="DH56" s="191">
        <f t="shared" si="375"/>
        <v>0</v>
      </c>
      <c r="DI56" s="191">
        <f t="shared" si="376"/>
        <v>0</v>
      </c>
      <c r="DJ56" s="191">
        <f t="shared" si="377"/>
        <v>0</v>
      </c>
      <c r="DK56" s="191">
        <f t="shared" si="378"/>
        <v>0</v>
      </c>
      <c r="DL56" s="191">
        <f t="shared" si="379"/>
        <v>0</v>
      </c>
      <c r="DM56" s="191">
        <f t="shared" si="380"/>
        <v>0</v>
      </c>
      <c r="DN56" s="191">
        <f t="shared" si="381"/>
        <v>0</v>
      </c>
      <c r="DO56" s="191">
        <f t="shared" si="382"/>
        <v>0</v>
      </c>
      <c r="DP56" s="191">
        <f t="shared" si="383"/>
        <v>0</v>
      </c>
      <c r="DQ56" s="259">
        <f>COUNTIFS($B:$B,"ELKINS PARK",$C:$C,"USCRI",$M:$M,AG56)</f>
        <v>0</v>
      </c>
      <c r="DR56" s="191">
        <f t="shared" si="384"/>
        <v>0</v>
      </c>
      <c r="DS56" s="191">
        <f t="shared" si="385"/>
        <v>0</v>
      </c>
      <c r="DT56" s="191">
        <f t="shared" si="386"/>
        <v>0</v>
      </c>
      <c r="DU56" s="191">
        <f t="shared" si="387"/>
        <v>0</v>
      </c>
      <c r="DV56" s="191">
        <f t="shared" si="388"/>
        <v>0</v>
      </c>
      <c r="DW56" s="191">
        <f t="shared" si="389"/>
        <v>0</v>
      </c>
      <c r="DX56" s="191">
        <f t="shared" si="390"/>
        <v>0</v>
      </c>
      <c r="DY56" s="191">
        <f t="shared" si="391"/>
        <v>0</v>
      </c>
      <c r="DZ56" s="191">
        <f t="shared" si="392"/>
        <v>0</v>
      </c>
      <c r="EA56" s="191">
        <f t="shared" si="393"/>
        <v>0</v>
      </c>
      <c r="EB56" s="191">
        <f t="shared" si="394"/>
        <v>0</v>
      </c>
      <c r="EC56" s="263">
        <f t="shared" si="445"/>
        <v>0</v>
      </c>
      <c r="ED56" s="191">
        <f t="shared" si="395"/>
        <v>0</v>
      </c>
      <c r="EE56" s="191">
        <f t="shared" si="396"/>
        <v>0</v>
      </c>
      <c r="EF56" s="191">
        <f t="shared" si="397"/>
        <v>0</v>
      </c>
      <c r="EG56" s="191">
        <f t="shared" si="398"/>
        <v>0</v>
      </c>
      <c r="EH56" s="191">
        <f t="shared" si="399"/>
        <v>0</v>
      </c>
      <c r="EI56" s="191">
        <f t="shared" si="400"/>
        <v>0</v>
      </c>
      <c r="EJ56" s="259">
        <f t="shared" si="114"/>
        <v>0</v>
      </c>
      <c r="EK56" s="191">
        <f t="shared" si="401"/>
        <v>0</v>
      </c>
      <c r="EL56" s="191">
        <f t="shared" si="402"/>
        <v>0</v>
      </c>
      <c r="EM56" s="259">
        <f t="shared" si="446"/>
        <v>0</v>
      </c>
      <c r="EN56" s="259">
        <f t="shared" si="403"/>
        <v>0</v>
      </c>
      <c r="EO56" s="259">
        <f t="shared" si="447"/>
        <v>0</v>
      </c>
      <c r="EQ56" s="191">
        <f t="shared" si="404"/>
        <v>0</v>
      </c>
      <c r="ER56" s="191">
        <f t="shared" si="405"/>
        <v>0</v>
      </c>
      <c r="ES56" s="191">
        <f t="shared" si="406"/>
        <v>0</v>
      </c>
      <c r="ET56" s="191">
        <f t="shared" si="407"/>
        <v>0</v>
      </c>
      <c r="EU56" s="191">
        <f t="shared" si="408"/>
        <v>0</v>
      </c>
      <c r="EV56" s="191">
        <f t="shared" si="409"/>
        <v>0</v>
      </c>
      <c r="EW56" s="191">
        <f t="shared" si="410"/>
        <v>0</v>
      </c>
      <c r="EX56" s="191">
        <f t="shared" si="411"/>
        <v>0</v>
      </c>
      <c r="EY56" s="191">
        <f t="shared" si="473"/>
        <v>0</v>
      </c>
      <c r="EZ56" s="191">
        <f t="shared" si="412"/>
        <v>0</v>
      </c>
      <c r="FF56" s="191">
        <f t="shared" si="413"/>
        <v>0</v>
      </c>
      <c r="FG56" s="191">
        <f t="shared" si="414"/>
        <v>0</v>
      </c>
      <c r="FH56" s="191">
        <f t="shared" si="415"/>
        <v>0</v>
      </c>
      <c r="FI56" s="191">
        <f t="shared" si="474"/>
        <v>0</v>
      </c>
      <c r="FL56" s="159" t="s">
        <v>229</v>
      </c>
      <c r="FM56" s="160" t="s">
        <v>230</v>
      </c>
    </row>
    <row r="57" spans="1:169" ht="15.75" thickBot="1" x14ac:dyDescent="0.3">
      <c r="A57" s="304">
        <v>55</v>
      </c>
      <c r="B57" s="299" t="s">
        <v>8</v>
      </c>
      <c r="C57" s="300" t="s">
        <v>1</v>
      </c>
      <c r="D57" s="299"/>
      <c r="E57" s="301"/>
      <c r="F57" s="301"/>
      <c r="G57" s="301"/>
      <c r="H57" s="299"/>
      <c r="I57" s="299"/>
      <c r="J57" s="299"/>
      <c r="K57" s="301"/>
      <c r="L57" s="302"/>
      <c r="M57" s="301" t="s">
        <v>159</v>
      </c>
      <c r="N57" s="303"/>
      <c r="O57" s="302">
        <v>43006</v>
      </c>
      <c r="P57" s="259"/>
      <c r="X57" s="84" t="s">
        <v>64</v>
      </c>
      <c r="Y57" s="97">
        <f>COUNTIFS($B:$B,"CAMP HILL",$C:$C,"USCCB")</f>
        <v>0</v>
      </c>
      <c r="Z57" s="135">
        <f>SUM(AI59:AK59,AM59:AN59,AP59:AU59,AW59:BC59)</f>
        <v>0</v>
      </c>
      <c r="AA57" s="135">
        <f>SUM(BI59:CD59,CF59:CO59,CQ59)</f>
        <v>0</v>
      </c>
      <c r="AB57" s="135">
        <f t="shared" si="78"/>
        <v>0</v>
      </c>
      <c r="AC57" s="135">
        <f>SUM(EQ59:EX59,EZ59)</f>
        <v>0</v>
      </c>
      <c r="AD57" s="135">
        <f>SUM(FF59:FH59)</f>
        <v>0</v>
      </c>
      <c r="AF57" s="159" t="s">
        <v>231</v>
      </c>
      <c r="AG57" s="160" t="s">
        <v>134</v>
      </c>
      <c r="AH57" s="114">
        <f t="shared" si="417"/>
        <v>0</v>
      </c>
      <c r="AI57" s="191">
        <f t="shared" si="450"/>
        <v>0</v>
      </c>
      <c r="AJ57" s="191">
        <f t="shared" si="451"/>
        <v>0</v>
      </c>
      <c r="AK57" s="191">
        <f t="shared" si="452"/>
        <v>0</v>
      </c>
      <c r="AL57" s="136">
        <f t="shared" si="453"/>
        <v>0</v>
      </c>
      <c r="AM57" s="191">
        <f t="shared" si="454"/>
        <v>0</v>
      </c>
      <c r="AN57" s="191">
        <f t="shared" si="455"/>
        <v>0</v>
      </c>
      <c r="AO57" s="191">
        <f t="shared" si="456"/>
        <v>0</v>
      </c>
      <c r="AP57" s="191">
        <f t="shared" si="457"/>
        <v>0</v>
      </c>
      <c r="AQ57" s="191">
        <f t="shared" si="458"/>
        <v>0</v>
      </c>
      <c r="AR57" s="191">
        <f t="shared" si="459"/>
        <v>0</v>
      </c>
      <c r="AS57" s="259">
        <f t="shared" si="428"/>
        <v>0</v>
      </c>
      <c r="AT57" s="191">
        <f t="shared" si="460"/>
        <v>0</v>
      </c>
      <c r="AU57" s="191">
        <f t="shared" si="461"/>
        <v>0</v>
      </c>
      <c r="AV57" s="191">
        <f t="shared" si="462"/>
        <v>0</v>
      </c>
      <c r="AW57" s="191">
        <f t="shared" si="463"/>
        <v>0</v>
      </c>
      <c r="AX57" s="191">
        <f t="shared" si="464"/>
        <v>0</v>
      </c>
      <c r="AY57" s="191">
        <f t="shared" si="465"/>
        <v>0</v>
      </c>
      <c r="AZ57" s="191">
        <f t="shared" si="466"/>
        <v>0</v>
      </c>
      <c r="BA57" s="191">
        <f t="shared" si="467"/>
        <v>0</v>
      </c>
      <c r="BB57" s="191">
        <f t="shared" si="468"/>
        <v>0</v>
      </c>
      <c r="BC57" s="263">
        <f t="shared" si="438"/>
        <v>0</v>
      </c>
      <c r="BD57" s="259">
        <f t="shared" si="439"/>
        <v>0</v>
      </c>
      <c r="BI57" s="191">
        <f t="shared" si="335"/>
        <v>0</v>
      </c>
      <c r="BJ57" s="191">
        <f t="shared" si="336"/>
        <v>0</v>
      </c>
      <c r="BK57" s="191">
        <f t="shared" si="337"/>
        <v>0</v>
      </c>
      <c r="BL57" s="191">
        <f t="shared" si="338"/>
        <v>0</v>
      </c>
      <c r="BM57" s="191">
        <f t="shared" si="339"/>
        <v>0</v>
      </c>
      <c r="BN57" s="191">
        <f t="shared" si="340"/>
        <v>0</v>
      </c>
      <c r="BO57" s="259">
        <f t="shared" si="416"/>
        <v>0</v>
      </c>
      <c r="BP57" s="191">
        <f t="shared" si="341"/>
        <v>0</v>
      </c>
      <c r="BQ57" s="191">
        <f t="shared" si="342"/>
        <v>0</v>
      </c>
      <c r="BR57" s="259">
        <f t="shared" si="440"/>
        <v>0</v>
      </c>
      <c r="BS57" s="191">
        <f t="shared" si="343"/>
        <v>0</v>
      </c>
      <c r="BT57" s="191">
        <f t="shared" si="344"/>
        <v>0</v>
      </c>
      <c r="BU57" s="191">
        <f t="shared" si="345"/>
        <v>0</v>
      </c>
      <c r="BV57" s="259">
        <f t="shared" si="346"/>
        <v>0</v>
      </c>
      <c r="BW57" s="191">
        <f t="shared" si="347"/>
        <v>0</v>
      </c>
      <c r="BX57" s="191">
        <f t="shared" si="348"/>
        <v>0</v>
      </c>
      <c r="BY57" s="191">
        <f t="shared" si="349"/>
        <v>0</v>
      </c>
      <c r="BZ57" s="191">
        <f t="shared" si="350"/>
        <v>0</v>
      </c>
      <c r="CA57" s="191">
        <f t="shared" si="351"/>
        <v>0</v>
      </c>
      <c r="CB57" s="191">
        <f t="shared" si="352"/>
        <v>0</v>
      </c>
      <c r="CC57" s="191">
        <f t="shared" si="353"/>
        <v>0</v>
      </c>
      <c r="CD57" s="191">
        <f t="shared" si="354"/>
        <v>0</v>
      </c>
      <c r="CE57" s="191">
        <f t="shared" si="469"/>
        <v>0</v>
      </c>
      <c r="CF57" s="191">
        <f t="shared" si="355"/>
        <v>0</v>
      </c>
      <c r="CG57" s="191">
        <f t="shared" si="356"/>
        <v>0</v>
      </c>
      <c r="CH57" s="191">
        <f t="shared" si="357"/>
        <v>0</v>
      </c>
      <c r="CI57" s="191">
        <f t="shared" si="358"/>
        <v>0</v>
      </c>
      <c r="CJ57" s="191">
        <f t="shared" si="359"/>
        <v>0</v>
      </c>
      <c r="CK57" s="191">
        <f t="shared" si="360"/>
        <v>0</v>
      </c>
      <c r="CL57" s="191">
        <f t="shared" si="361"/>
        <v>0</v>
      </c>
      <c r="CM57" s="191">
        <f t="shared" si="362"/>
        <v>0</v>
      </c>
      <c r="CN57" s="191">
        <f t="shared" si="363"/>
        <v>0</v>
      </c>
      <c r="CO57" s="191">
        <f t="shared" si="364"/>
        <v>0</v>
      </c>
      <c r="CP57" s="191">
        <f t="shared" si="470"/>
        <v>0</v>
      </c>
      <c r="CQ57" s="191">
        <f t="shared" si="365"/>
        <v>0</v>
      </c>
      <c r="CW57" s="191">
        <f t="shared" si="366"/>
        <v>0</v>
      </c>
      <c r="CX57" s="191">
        <f t="shared" si="367"/>
        <v>0</v>
      </c>
      <c r="CY57" s="191">
        <f t="shared" si="368"/>
        <v>0</v>
      </c>
      <c r="CZ57" s="191">
        <f t="shared" si="369"/>
        <v>0</v>
      </c>
      <c r="DA57" s="191">
        <f t="shared" si="471"/>
        <v>0</v>
      </c>
      <c r="DB57" s="191">
        <f t="shared" si="370"/>
        <v>0</v>
      </c>
      <c r="DC57" s="191">
        <f t="shared" si="371"/>
        <v>0</v>
      </c>
      <c r="DD57" s="191">
        <f t="shared" si="372"/>
        <v>0</v>
      </c>
      <c r="DE57" s="191">
        <f t="shared" si="472"/>
        <v>0</v>
      </c>
      <c r="DF57" s="191">
        <f t="shared" si="373"/>
        <v>0</v>
      </c>
      <c r="DG57" s="191">
        <f t="shared" si="374"/>
        <v>0</v>
      </c>
      <c r="DH57" s="191">
        <f t="shared" si="375"/>
        <v>0</v>
      </c>
      <c r="DI57" s="191">
        <f t="shared" si="376"/>
        <v>0</v>
      </c>
      <c r="DJ57" s="191">
        <f t="shared" si="377"/>
        <v>0</v>
      </c>
      <c r="DK57" s="191">
        <f t="shared" si="378"/>
        <v>0</v>
      </c>
      <c r="DL57" s="191">
        <f t="shared" si="379"/>
        <v>0</v>
      </c>
      <c r="DM57" s="191">
        <f t="shared" si="380"/>
        <v>0</v>
      </c>
      <c r="DN57" s="191">
        <f t="shared" si="381"/>
        <v>0</v>
      </c>
      <c r="DO57" s="191">
        <f t="shared" si="382"/>
        <v>0</v>
      </c>
      <c r="DP57" s="191">
        <f t="shared" si="383"/>
        <v>0</v>
      </c>
      <c r="DQ57" s="259">
        <f>COUNTIFS($B:$B,"ELKINS PARK",$C:$C,"USCRI",$M:$M,AG57)</f>
        <v>0</v>
      </c>
      <c r="DR57" s="191">
        <f t="shared" si="384"/>
        <v>0</v>
      </c>
      <c r="DS57" s="191">
        <f t="shared" si="385"/>
        <v>0</v>
      </c>
      <c r="DT57" s="191">
        <f t="shared" si="386"/>
        <v>0</v>
      </c>
      <c r="DU57" s="191">
        <f t="shared" si="387"/>
        <v>0</v>
      </c>
      <c r="DV57" s="191">
        <f t="shared" si="388"/>
        <v>0</v>
      </c>
      <c r="DW57" s="191">
        <f t="shared" si="389"/>
        <v>0</v>
      </c>
      <c r="DX57" s="191">
        <f t="shared" si="390"/>
        <v>0</v>
      </c>
      <c r="DY57" s="191">
        <f t="shared" si="391"/>
        <v>0</v>
      </c>
      <c r="DZ57" s="191">
        <f t="shared" si="392"/>
        <v>0</v>
      </c>
      <c r="EA57" s="191">
        <f t="shared" si="393"/>
        <v>0</v>
      </c>
      <c r="EB57" s="191">
        <f t="shared" si="394"/>
        <v>0</v>
      </c>
      <c r="EC57" s="263">
        <f t="shared" si="445"/>
        <v>0</v>
      </c>
      <c r="ED57" s="191">
        <f t="shared" si="395"/>
        <v>0</v>
      </c>
      <c r="EE57" s="191">
        <f t="shared" si="396"/>
        <v>0</v>
      </c>
      <c r="EF57" s="191">
        <f t="shared" si="397"/>
        <v>0</v>
      </c>
      <c r="EG57" s="191">
        <f t="shared" si="398"/>
        <v>0</v>
      </c>
      <c r="EH57" s="191">
        <f t="shared" si="399"/>
        <v>0</v>
      </c>
      <c r="EI57" s="191">
        <f t="shared" si="400"/>
        <v>0</v>
      </c>
      <c r="EJ57" s="259">
        <f t="shared" si="114"/>
        <v>0</v>
      </c>
      <c r="EK57" s="191">
        <f t="shared" si="401"/>
        <v>0</v>
      </c>
      <c r="EL57" s="191">
        <f t="shared" si="402"/>
        <v>0</v>
      </c>
      <c r="EM57" s="259">
        <f t="shared" si="446"/>
        <v>0</v>
      </c>
      <c r="EN57" s="259">
        <f t="shared" si="403"/>
        <v>0</v>
      </c>
      <c r="EO57" s="259">
        <f t="shared" si="447"/>
        <v>0</v>
      </c>
      <c r="EQ57" s="191">
        <f t="shared" si="404"/>
        <v>0</v>
      </c>
      <c r="ER57" s="191">
        <f t="shared" si="405"/>
        <v>0</v>
      </c>
      <c r="ES57" s="191">
        <f t="shared" si="406"/>
        <v>0</v>
      </c>
      <c r="ET57" s="191">
        <f t="shared" si="407"/>
        <v>0</v>
      </c>
      <c r="EU57" s="191">
        <f t="shared" si="408"/>
        <v>0</v>
      </c>
      <c r="EV57" s="191">
        <f t="shared" si="409"/>
        <v>0</v>
      </c>
      <c r="EW57" s="191">
        <f t="shared" si="410"/>
        <v>0</v>
      </c>
      <c r="EX57" s="191">
        <f t="shared" si="411"/>
        <v>0</v>
      </c>
      <c r="EY57" s="191">
        <f t="shared" si="473"/>
        <v>0</v>
      </c>
      <c r="EZ57" s="191">
        <f t="shared" si="412"/>
        <v>0</v>
      </c>
      <c r="FF57" s="191">
        <f t="shared" si="413"/>
        <v>0</v>
      </c>
      <c r="FG57" s="191">
        <f t="shared" si="414"/>
        <v>0</v>
      </c>
      <c r="FH57" s="191">
        <f t="shared" si="415"/>
        <v>0</v>
      </c>
      <c r="FI57" s="191">
        <f t="shared" si="474"/>
        <v>0</v>
      </c>
      <c r="FL57" s="159" t="s">
        <v>231</v>
      </c>
      <c r="FM57" s="160" t="s">
        <v>134</v>
      </c>
    </row>
    <row r="58" spans="1:169" ht="15.75" thickBot="1" x14ac:dyDescent="0.3">
      <c r="A58" s="304">
        <v>56</v>
      </c>
      <c r="B58" s="299" t="s">
        <v>8</v>
      </c>
      <c r="C58" s="300" t="s">
        <v>1</v>
      </c>
      <c r="D58" s="299"/>
      <c r="E58" s="301"/>
      <c r="F58" s="301"/>
      <c r="G58" s="301"/>
      <c r="H58" s="299"/>
      <c r="I58" s="299"/>
      <c r="J58" s="299"/>
      <c r="K58" s="301"/>
      <c r="L58" s="302"/>
      <c r="M58" s="301" t="s">
        <v>159</v>
      </c>
      <c r="N58" s="303"/>
      <c r="O58" s="302">
        <v>43006</v>
      </c>
      <c r="P58" s="259"/>
      <c r="X58" s="84" t="s">
        <v>2</v>
      </c>
      <c r="Y58" s="97">
        <f>COUNTIFS($B:$B,"CARLISLE",$C:$C,"USCCB")</f>
        <v>0</v>
      </c>
      <c r="Z58" s="135">
        <f>SUM(AI60:AK60,AM60:AN60,AP60:AU60,AW60:BC60)</f>
        <v>0</v>
      </c>
      <c r="AA58" s="135">
        <f>SUM(BI60:CD60,CF60:CO60,CQ60)</f>
        <v>0</v>
      </c>
      <c r="AB58" s="135">
        <f t="shared" si="78"/>
        <v>0</v>
      </c>
      <c r="AC58" s="135">
        <f>SUM(EQ60:EX60,EZ60)</f>
        <v>0</v>
      </c>
      <c r="AD58" s="135">
        <f>SUM(FF60:FH60)</f>
        <v>0</v>
      </c>
      <c r="AF58" s="159" t="s">
        <v>232</v>
      </c>
      <c r="AG58" s="160" t="s">
        <v>233</v>
      </c>
      <c r="AH58" s="114">
        <f t="shared" si="417"/>
        <v>0</v>
      </c>
      <c r="AI58" s="191">
        <f t="shared" si="450"/>
        <v>0</v>
      </c>
      <c r="AJ58" s="191">
        <f t="shared" si="451"/>
        <v>0</v>
      </c>
      <c r="AK58" s="191">
        <f t="shared" si="452"/>
        <v>0</v>
      </c>
      <c r="AL58" s="136">
        <f t="shared" si="453"/>
        <v>0</v>
      </c>
      <c r="AM58" s="191">
        <f t="shared" si="454"/>
        <v>0</v>
      </c>
      <c r="AN58" s="191">
        <f t="shared" si="455"/>
        <v>0</v>
      </c>
      <c r="AO58" s="191">
        <f t="shared" si="456"/>
        <v>0</v>
      </c>
      <c r="AP58" s="191">
        <f t="shared" si="457"/>
        <v>0</v>
      </c>
      <c r="AQ58" s="191">
        <f t="shared" si="458"/>
        <v>0</v>
      </c>
      <c r="AR58" s="191">
        <f t="shared" si="459"/>
        <v>0</v>
      </c>
      <c r="AS58" s="259">
        <f t="shared" si="428"/>
        <v>0</v>
      </c>
      <c r="AT58" s="191">
        <f t="shared" si="460"/>
        <v>0</v>
      </c>
      <c r="AU58" s="191">
        <f t="shared" si="461"/>
        <v>0</v>
      </c>
      <c r="AV58" s="191">
        <f t="shared" si="462"/>
        <v>0</v>
      </c>
      <c r="AW58" s="191">
        <f t="shared" si="463"/>
        <v>0</v>
      </c>
      <c r="AX58" s="191">
        <f t="shared" si="464"/>
        <v>0</v>
      </c>
      <c r="AY58" s="191">
        <f t="shared" si="465"/>
        <v>0</v>
      </c>
      <c r="AZ58" s="191">
        <f t="shared" si="466"/>
        <v>0</v>
      </c>
      <c r="BA58" s="191">
        <f t="shared" si="467"/>
        <v>0</v>
      </c>
      <c r="BB58" s="191">
        <f t="shared" si="468"/>
        <v>0</v>
      </c>
      <c r="BC58" s="263">
        <f t="shared" si="438"/>
        <v>0</v>
      </c>
      <c r="BD58" s="259">
        <f t="shared" si="439"/>
        <v>0</v>
      </c>
      <c r="BI58" s="191">
        <f t="shared" si="335"/>
        <v>0</v>
      </c>
      <c r="BJ58" s="191">
        <f t="shared" si="336"/>
        <v>0</v>
      </c>
      <c r="BK58" s="191">
        <f t="shared" si="337"/>
        <v>0</v>
      </c>
      <c r="BL58" s="191">
        <f t="shared" si="338"/>
        <v>0</v>
      </c>
      <c r="BM58" s="191">
        <f t="shared" si="339"/>
        <v>0</v>
      </c>
      <c r="BN58" s="191">
        <f t="shared" si="340"/>
        <v>0</v>
      </c>
      <c r="BO58" s="259">
        <f t="shared" si="416"/>
        <v>0</v>
      </c>
      <c r="BP58" s="191">
        <f t="shared" si="341"/>
        <v>0</v>
      </c>
      <c r="BQ58" s="191">
        <f t="shared" si="342"/>
        <v>0</v>
      </c>
      <c r="BR58" s="259">
        <f t="shared" si="440"/>
        <v>0</v>
      </c>
      <c r="BS58" s="191">
        <f t="shared" si="343"/>
        <v>0</v>
      </c>
      <c r="BT58" s="191">
        <f t="shared" si="344"/>
        <v>0</v>
      </c>
      <c r="BU58" s="191">
        <f t="shared" si="345"/>
        <v>0</v>
      </c>
      <c r="BV58" s="259">
        <f t="shared" si="346"/>
        <v>0</v>
      </c>
      <c r="BW58" s="191">
        <f t="shared" si="347"/>
        <v>0</v>
      </c>
      <c r="BX58" s="191">
        <f t="shared" si="348"/>
        <v>0</v>
      </c>
      <c r="BY58" s="191">
        <f t="shared" si="349"/>
        <v>0</v>
      </c>
      <c r="BZ58" s="191">
        <f t="shared" si="350"/>
        <v>0</v>
      </c>
      <c r="CA58" s="191">
        <f t="shared" si="351"/>
        <v>0</v>
      </c>
      <c r="CB58" s="191">
        <f t="shared" si="352"/>
        <v>0</v>
      </c>
      <c r="CC58" s="191">
        <f t="shared" si="353"/>
        <v>0</v>
      </c>
      <c r="CD58" s="191">
        <f t="shared" si="354"/>
        <v>0</v>
      </c>
      <c r="CE58" s="191">
        <f t="shared" si="469"/>
        <v>0</v>
      </c>
      <c r="CF58" s="191">
        <f t="shared" si="355"/>
        <v>0</v>
      </c>
      <c r="CG58" s="191">
        <f t="shared" si="356"/>
        <v>0</v>
      </c>
      <c r="CH58" s="191">
        <f t="shared" si="357"/>
        <v>0</v>
      </c>
      <c r="CI58" s="191">
        <f t="shared" si="358"/>
        <v>0</v>
      </c>
      <c r="CJ58" s="191">
        <f t="shared" si="359"/>
        <v>0</v>
      </c>
      <c r="CK58" s="191">
        <f t="shared" si="360"/>
        <v>0</v>
      </c>
      <c r="CL58" s="191">
        <f t="shared" si="361"/>
        <v>0</v>
      </c>
      <c r="CM58" s="191">
        <f t="shared" si="362"/>
        <v>0</v>
      </c>
      <c r="CN58" s="191">
        <f t="shared" si="363"/>
        <v>0</v>
      </c>
      <c r="CO58" s="191">
        <f t="shared" si="364"/>
        <v>0</v>
      </c>
      <c r="CP58" s="191">
        <f t="shared" si="470"/>
        <v>0</v>
      </c>
      <c r="CQ58" s="191">
        <f t="shared" si="365"/>
        <v>0</v>
      </c>
      <c r="CW58" s="191">
        <f t="shared" si="366"/>
        <v>0</v>
      </c>
      <c r="CX58" s="191">
        <f t="shared" si="367"/>
        <v>0</v>
      </c>
      <c r="CY58" s="191">
        <f t="shared" si="368"/>
        <v>0</v>
      </c>
      <c r="CZ58" s="191">
        <f t="shared" si="369"/>
        <v>0</v>
      </c>
      <c r="DA58" s="191">
        <f t="shared" si="471"/>
        <v>0</v>
      </c>
      <c r="DB58" s="191">
        <f t="shared" si="370"/>
        <v>0</v>
      </c>
      <c r="DC58" s="191">
        <f t="shared" si="371"/>
        <v>0</v>
      </c>
      <c r="DD58" s="191">
        <f t="shared" si="372"/>
        <v>0</v>
      </c>
      <c r="DE58" s="191">
        <f t="shared" si="472"/>
        <v>0</v>
      </c>
      <c r="DF58" s="191">
        <f t="shared" si="373"/>
        <v>0</v>
      </c>
      <c r="DG58" s="191">
        <f t="shared" si="374"/>
        <v>0</v>
      </c>
      <c r="DH58" s="191">
        <f t="shared" si="375"/>
        <v>0</v>
      </c>
      <c r="DI58" s="191">
        <f t="shared" si="376"/>
        <v>0</v>
      </c>
      <c r="DJ58" s="191">
        <f t="shared" si="377"/>
        <v>0</v>
      </c>
      <c r="DK58" s="191">
        <f t="shared" si="378"/>
        <v>0</v>
      </c>
      <c r="DL58" s="191">
        <f t="shared" si="379"/>
        <v>0</v>
      </c>
      <c r="DM58" s="191">
        <f t="shared" si="380"/>
        <v>0</v>
      </c>
      <c r="DN58" s="191">
        <f t="shared" si="381"/>
        <v>0</v>
      </c>
      <c r="DO58" s="191">
        <f t="shared" si="382"/>
        <v>0</v>
      </c>
      <c r="DP58" s="191">
        <f t="shared" si="383"/>
        <v>0</v>
      </c>
      <c r="DQ58" s="259">
        <f>COUNTIFS($B:$B,"ELKINS PARK",$C:$C,"USCRI",$M:$M,AG58)</f>
        <v>0</v>
      </c>
      <c r="DR58" s="191">
        <f t="shared" si="384"/>
        <v>0</v>
      </c>
      <c r="DS58" s="191">
        <f t="shared" si="385"/>
        <v>0</v>
      </c>
      <c r="DT58" s="191">
        <f t="shared" si="386"/>
        <v>0</v>
      </c>
      <c r="DU58" s="191">
        <f t="shared" si="387"/>
        <v>0</v>
      </c>
      <c r="DV58" s="191">
        <f t="shared" si="388"/>
        <v>0</v>
      </c>
      <c r="DW58" s="191">
        <f t="shared" si="389"/>
        <v>0</v>
      </c>
      <c r="DX58" s="191">
        <f t="shared" si="390"/>
        <v>0</v>
      </c>
      <c r="DY58" s="191">
        <f t="shared" si="391"/>
        <v>0</v>
      </c>
      <c r="DZ58" s="191">
        <f t="shared" si="392"/>
        <v>0</v>
      </c>
      <c r="EA58" s="191">
        <f t="shared" si="393"/>
        <v>0</v>
      </c>
      <c r="EB58" s="191">
        <f t="shared" si="394"/>
        <v>0</v>
      </c>
      <c r="EC58" s="263">
        <f t="shared" si="445"/>
        <v>0</v>
      </c>
      <c r="ED58" s="191">
        <f t="shared" si="395"/>
        <v>0</v>
      </c>
      <c r="EE58" s="191">
        <f t="shared" si="396"/>
        <v>0</v>
      </c>
      <c r="EF58" s="191">
        <f t="shared" si="397"/>
        <v>0</v>
      </c>
      <c r="EG58" s="191">
        <f t="shared" si="398"/>
        <v>0</v>
      </c>
      <c r="EH58" s="191">
        <f t="shared" si="399"/>
        <v>0</v>
      </c>
      <c r="EI58" s="191">
        <f t="shared" si="400"/>
        <v>0</v>
      </c>
      <c r="EJ58" s="259">
        <f t="shared" si="114"/>
        <v>0</v>
      </c>
      <c r="EK58" s="191">
        <f t="shared" si="401"/>
        <v>0</v>
      </c>
      <c r="EL58" s="191">
        <f t="shared" si="402"/>
        <v>0</v>
      </c>
      <c r="EM58" s="259">
        <f t="shared" si="446"/>
        <v>0</v>
      </c>
      <c r="EN58" s="259">
        <f t="shared" si="403"/>
        <v>0</v>
      </c>
      <c r="EO58" s="259">
        <f t="shared" si="447"/>
        <v>0</v>
      </c>
      <c r="EQ58" s="191">
        <f t="shared" si="404"/>
        <v>0</v>
      </c>
      <c r="ER58" s="191">
        <f t="shared" si="405"/>
        <v>0</v>
      </c>
      <c r="ES58" s="191">
        <f t="shared" si="406"/>
        <v>0</v>
      </c>
      <c r="ET58" s="191">
        <f t="shared" si="407"/>
        <v>0</v>
      </c>
      <c r="EU58" s="191">
        <f t="shared" si="408"/>
        <v>0</v>
      </c>
      <c r="EV58" s="191">
        <f t="shared" si="409"/>
        <v>0</v>
      </c>
      <c r="EW58" s="191">
        <f t="shared" si="410"/>
        <v>0</v>
      </c>
      <c r="EX58" s="191">
        <f t="shared" si="411"/>
        <v>0</v>
      </c>
      <c r="EY58" s="191">
        <f t="shared" si="473"/>
        <v>0</v>
      </c>
      <c r="EZ58" s="191">
        <f t="shared" si="412"/>
        <v>0</v>
      </c>
      <c r="FF58" s="191">
        <f t="shared" si="413"/>
        <v>0</v>
      </c>
      <c r="FG58" s="191">
        <f t="shared" si="414"/>
        <v>0</v>
      </c>
      <c r="FH58" s="191">
        <f t="shared" si="415"/>
        <v>0</v>
      </c>
      <c r="FI58" s="191">
        <f t="shared" si="474"/>
        <v>0</v>
      </c>
      <c r="FL58" s="159" t="s">
        <v>232</v>
      </c>
      <c r="FM58" s="160" t="s">
        <v>233</v>
      </c>
    </row>
    <row r="59" spans="1:169" ht="15.75" thickBot="1" x14ac:dyDescent="0.3">
      <c r="A59" s="304">
        <v>57</v>
      </c>
      <c r="B59" s="299" t="s">
        <v>8</v>
      </c>
      <c r="C59" s="300" t="s">
        <v>1</v>
      </c>
      <c r="D59" s="299"/>
      <c r="E59" s="301"/>
      <c r="F59" s="301"/>
      <c r="G59" s="301"/>
      <c r="H59" s="299"/>
      <c r="I59" s="299"/>
      <c r="J59" s="299"/>
      <c r="K59" s="301"/>
      <c r="L59" s="302"/>
      <c r="M59" s="301" t="s">
        <v>159</v>
      </c>
      <c r="N59" s="303"/>
      <c r="O59" s="302">
        <v>43006</v>
      </c>
      <c r="P59" s="259"/>
      <c r="X59" s="84" t="s">
        <v>65</v>
      </c>
      <c r="Y59" s="97">
        <f>COUNTIFS($B:$B,"CHAMBERSBURG",$C:$C,"USCCB")</f>
        <v>0</v>
      </c>
      <c r="Z59" s="135">
        <f>SUM(AI61:AK61,AM61:AN61,AP61:AU61,AW61:BC61)</f>
        <v>0</v>
      </c>
      <c r="AA59" s="135">
        <f>SUM(BI61:CD61,CF61:CO61,CQ61)</f>
        <v>0</v>
      </c>
      <c r="AB59" s="135">
        <f t="shared" si="78"/>
        <v>0</v>
      </c>
      <c r="AC59" s="135">
        <f>SUM(EQ61:EX61,EZ61)</f>
        <v>0</v>
      </c>
      <c r="AD59" s="135">
        <f>SUM(FF61:FH61)</f>
        <v>0</v>
      </c>
      <c r="AF59" s="159" t="s">
        <v>234</v>
      </c>
      <c r="AG59" s="160" t="s">
        <v>235</v>
      </c>
      <c r="AH59" s="114">
        <f t="shared" si="417"/>
        <v>0</v>
      </c>
      <c r="AI59" s="191">
        <f t="shared" si="450"/>
        <v>0</v>
      </c>
      <c r="AJ59" s="191">
        <f t="shared" si="451"/>
        <v>0</v>
      </c>
      <c r="AK59" s="191">
        <f t="shared" si="452"/>
        <v>0</v>
      </c>
      <c r="AL59" s="136">
        <f t="shared" si="453"/>
        <v>0</v>
      </c>
      <c r="AM59" s="191">
        <f t="shared" si="454"/>
        <v>0</v>
      </c>
      <c r="AN59" s="191">
        <f t="shared" si="455"/>
        <v>0</v>
      </c>
      <c r="AO59" s="191">
        <f t="shared" si="456"/>
        <v>0</v>
      </c>
      <c r="AP59" s="191">
        <f t="shared" si="457"/>
        <v>0</v>
      </c>
      <c r="AQ59" s="191">
        <f t="shared" si="458"/>
        <v>0</v>
      </c>
      <c r="AR59" s="191">
        <f t="shared" si="459"/>
        <v>0</v>
      </c>
      <c r="AS59" s="259">
        <f t="shared" si="428"/>
        <v>0</v>
      </c>
      <c r="AT59" s="191">
        <f t="shared" si="460"/>
        <v>0</v>
      </c>
      <c r="AU59" s="191">
        <f t="shared" si="461"/>
        <v>0</v>
      </c>
      <c r="AV59" s="191">
        <f t="shared" si="462"/>
        <v>0</v>
      </c>
      <c r="AW59" s="191">
        <f t="shared" si="463"/>
        <v>0</v>
      </c>
      <c r="AX59" s="191">
        <f t="shared" si="464"/>
        <v>0</v>
      </c>
      <c r="AY59" s="191">
        <f t="shared" si="465"/>
        <v>0</v>
      </c>
      <c r="AZ59" s="191">
        <f t="shared" si="466"/>
        <v>0</v>
      </c>
      <c r="BA59" s="191">
        <f t="shared" si="467"/>
        <v>0</v>
      </c>
      <c r="BB59" s="191">
        <f t="shared" si="468"/>
        <v>0</v>
      </c>
      <c r="BC59" s="263">
        <f t="shared" si="438"/>
        <v>0</v>
      </c>
      <c r="BD59" s="259">
        <f t="shared" si="439"/>
        <v>0</v>
      </c>
      <c r="BI59" s="191">
        <f t="shared" si="335"/>
        <v>0</v>
      </c>
      <c r="BJ59" s="191">
        <f t="shared" si="336"/>
        <v>0</v>
      </c>
      <c r="BK59" s="191">
        <f t="shared" si="337"/>
        <v>0</v>
      </c>
      <c r="BL59" s="191">
        <f t="shared" si="338"/>
        <v>0</v>
      </c>
      <c r="BM59" s="191">
        <f t="shared" si="339"/>
        <v>0</v>
      </c>
      <c r="BN59" s="191">
        <f t="shared" si="340"/>
        <v>0</v>
      </c>
      <c r="BO59" s="259">
        <f t="shared" si="416"/>
        <v>0</v>
      </c>
      <c r="BP59" s="191">
        <f t="shared" si="341"/>
        <v>0</v>
      </c>
      <c r="BQ59" s="191">
        <f t="shared" si="342"/>
        <v>0</v>
      </c>
      <c r="BR59" s="259">
        <f t="shared" si="440"/>
        <v>0</v>
      </c>
      <c r="BS59" s="191">
        <f t="shared" si="343"/>
        <v>0</v>
      </c>
      <c r="BT59" s="191">
        <f t="shared" si="344"/>
        <v>0</v>
      </c>
      <c r="BU59" s="191">
        <f t="shared" si="345"/>
        <v>0</v>
      </c>
      <c r="BV59" s="259">
        <f t="shared" si="346"/>
        <v>0</v>
      </c>
      <c r="BW59" s="191">
        <f t="shared" si="347"/>
        <v>0</v>
      </c>
      <c r="BX59" s="191">
        <f t="shared" si="348"/>
        <v>0</v>
      </c>
      <c r="BY59" s="191">
        <f t="shared" si="349"/>
        <v>0</v>
      </c>
      <c r="BZ59" s="191">
        <f t="shared" si="350"/>
        <v>0</v>
      </c>
      <c r="CA59" s="191">
        <f t="shared" si="351"/>
        <v>0</v>
      </c>
      <c r="CB59" s="191">
        <f t="shared" si="352"/>
        <v>0</v>
      </c>
      <c r="CC59" s="191">
        <f t="shared" si="353"/>
        <v>0</v>
      </c>
      <c r="CD59" s="191">
        <f t="shared" si="354"/>
        <v>0</v>
      </c>
      <c r="CE59" s="191">
        <f t="shared" si="469"/>
        <v>0</v>
      </c>
      <c r="CF59" s="191">
        <f t="shared" si="355"/>
        <v>0</v>
      </c>
      <c r="CG59" s="191">
        <f t="shared" si="356"/>
        <v>0</v>
      </c>
      <c r="CH59" s="191">
        <f t="shared" si="357"/>
        <v>0</v>
      </c>
      <c r="CI59" s="191">
        <f t="shared" si="358"/>
        <v>0</v>
      </c>
      <c r="CJ59" s="191">
        <f t="shared" si="359"/>
        <v>0</v>
      </c>
      <c r="CK59" s="191">
        <f t="shared" si="360"/>
        <v>0</v>
      </c>
      <c r="CL59" s="191">
        <f t="shared" si="361"/>
        <v>0</v>
      </c>
      <c r="CM59" s="191">
        <f t="shared" si="362"/>
        <v>0</v>
      </c>
      <c r="CN59" s="191">
        <f t="shared" si="363"/>
        <v>0</v>
      </c>
      <c r="CO59" s="191">
        <f t="shared" si="364"/>
        <v>0</v>
      </c>
      <c r="CP59" s="191">
        <f t="shared" si="470"/>
        <v>0</v>
      </c>
      <c r="CQ59" s="191">
        <f t="shared" si="365"/>
        <v>0</v>
      </c>
      <c r="CW59" s="191">
        <f t="shared" si="366"/>
        <v>0</v>
      </c>
      <c r="CX59" s="191">
        <f t="shared" si="367"/>
        <v>0</v>
      </c>
      <c r="CY59" s="191">
        <f t="shared" si="368"/>
        <v>0</v>
      </c>
      <c r="CZ59" s="191">
        <f t="shared" si="369"/>
        <v>0</v>
      </c>
      <c r="DA59" s="191">
        <f t="shared" si="471"/>
        <v>0</v>
      </c>
      <c r="DB59" s="191">
        <f t="shared" si="370"/>
        <v>0</v>
      </c>
      <c r="DC59" s="191">
        <f t="shared" si="371"/>
        <v>0</v>
      </c>
      <c r="DD59" s="191">
        <f t="shared" si="372"/>
        <v>0</v>
      </c>
      <c r="DE59" s="191">
        <f t="shared" si="472"/>
        <v>0</v>
      </c>
      <c r="DF59" s="191">
        <f t="shared" si="373"/>
        <v>0</v>
      </c>
      <c r="DG59" s="191">
        <f t="shared" si="374"/>
        <v>0</v>
      </c>
      <c r="DH59" s="191">
        <f t="shared" si="375"/>
        <v>0</v>
      </c>
      <c r="DI59" s="191">
        <f t="shared" si="376"/>
        <v>0</v>
      </c>
      <c r="DJ59" s="191">
        <f t="shared" si="377"/>
        <v>0</v>
      </c>
      <c r="DK59" s="191">
        <f t="shared" si="378"/>
        <v>0</v>
      </c>
      <c r="DL59" s="191">
        <f t="shared" si="379"/>
        <v>0</v>
      </c>
      <c r="DM59" s="191">
        <f t="shared" si="380"/>
        <v>0</v>
      </c>
      <c r="DN59" s="191">
        <f t="shared" si="381"/>
        <v>0</v>
      </c>
      <c r="DO59" s="191">
        <f t="shared" si="382"/>
        <v>0</v>
      </c>
      <c r="DP59" s="191">
        <f t="shared" si="383"/>
        <v>0</v>
      </c>
      <c r="DQ59" s="259">
        <f>COUNTIFS($B:$B,"ELKINS PARK",$C:$C,"USCRI",$M:$M,AG59)</f>
        <v>0</v>
      </c>
      <c r="DR59" s="191">
        <f t="shared" si="384"/>
        <v>0</v>
      </c>
      <c r="DS59" s="191">
        <f t="shared" si="385"/>
        <v>0</v>
      </c>
      <c r="DT59" s="191">
        <f t="shared" si="386"/>
        <v>0</v>
      </c>
      <c r="DU59" s="191">
        <f t="shared" si="387"/>
        <v>0</v>
      </c>
      <c r="DV59" s="191">
        <f t="shared" si="388"/>
        <v>0</v>
      </c>
      <c r="DW59" s="191">
        <f t="shared" si="389"/>
        <v>0</v>
      </c>
      <c r="DX59" s="191">
        <f t="shared" si="390"/>
        <v>0</v>
      </c>
      <c r="DY59" s="191">
        <f t="shared" si="391"/>
        <v>0</v>
      </c>
      <c r="DZ59" s="191">
        <f t="shared" si="392"/>
        <v>0</v>
      </c>
      <c r="EA59" s="191">
        <f t="shared" si="393"/>
        <v>0</v>
      </c>
      <c r="EB59" s="191">
        <f t="shared" si="394"/>
        <v>0</v>
      </c>
      <c r="EC59" s="263">
        <f t="shared" si="445"/>
        <v>0</v>
      </c>
      <c r="ED59" s="191">
        <f t="shared" si="395"/>
        <v>0</v>
      </c>
      <c r="EE59" s="191">
        <f t="shared" si="396"/>
        <v>0</v>
      </c>
      <c r="EF59" s="191">
        <f t="shared" si="397"/>
        <v>0</v>
      </c>
      <c r="EG59" s="191">
        <f t="shared" si="398"/>
        <v>0</v>
      </c>
      <c r="EH59" s="191">
        <f t="shared" si="399"/>
        <v>0</v>
      </c>
      <c r="EI59" s="191">
        <f t="shared" si="400"/>
        <v>0</v>
      </c>
      <c r="EJ59" s="259">
        <f t="shared" si="114"/>
        <v>0</v>
      </c>
      <c r="EK59" s="191">
        <f t="shared" si="401"/>
        <v>0</v>
      </c>
      <c r="EL59" s="191">
        <f t="shared" si="402"/>
        <v>0</v>
      </c>
      <c r="EM59" s="259">
        <f t="shared" si="446"/>
        <v>0</v>
      </c>
      <c r="EN59" s="259">
        <f t="shared" si="403"/>
        <v>0</v>
      </c>
      <c r="EO59" s="259">
        <f t="shared" si="447"/>
        <v>0</v>
      </c>
      <c r="EQ59" s="191">
        <f t="shared" si="404"/>
        <v>0</v>
      </c>
      <c r="ER59" s="191">
        <f t="shared" si="405"/>
        <v>0</v>
      </c>
      <c r="ES59" s="191">
        <f t="shared" si="406"/>
        <v>0</v>
      </c>
      <c r="ET59" s="191">
        <f t="shared" si="407"/>
        <v>0</v>
      </c>
      <c r="EU59" s="191">
        <f t="shared" si="408"/>
        <v>0</v>
      </c>
      <c r="EV59" s="191">
        <f t="shared" si="409"/>
        <v>0</v>
      </c>
      <c r="EW59" s="191">
        <f t="shared" si="410"/>
        <v>0</v>
      </c>
      <c r="EX59" s="191">
        <f t="shared" si="411"/>
        <v>0</v>
      </c>
      <c r="EY59" s="191">
        <f t="shared" si="473"/>
        <v>0</v>
      </c>
      <c r="EZ59" s="191">
        <f t="shared" si="412"/>
        <v>0</v>
      </c>
      <c r="FF59" s="191">
        <f t="shared" si="413"/>
        <v>0</v>
      </c>
      <c r="FG59" s="191">
        <f t="shared" si="414"/>
        <v>0</v>
      </c>
      <c r="FH59" s="191">
        <f t="shared" si="415"/>
        <v>0</v>
      </c>
      <c r="FI59" s="191">
        <f t="shared" si="474"/>
        <v>0</v>
      </c>
      <c r="FL59" s="159" t="s">
        <v>234</v>
      </c>
      <c r="FM59" s="160" t="s">
        <v>235</v>
      </c>
    </row>
    <row r="60" spans="1:169" ht="15.75" thickBot="1" x14ac:dyDescent="0.3">
      <c r="A60" s="304">
        <v>58</v>
      </c>
      <c r="B60" s="299" t="s">
        <v>8</v>
      </c>
      <c r="C60" s="300" t="s">
        <v>1</v>
      </c>
      <c r="D60" s="299"/>
      <c r="E60" s="301"/>
      <c r="F60" s="301"/>
      <c r="G60" s="301"/>
      <c r="H60" s="299"/>
      <c r="I60" s="299"/>
      <c r="J60" s="299"/>
      <c r="K60" s="301"/>
      <c r="L60" s="302"/>
      <c r="M60" s="301" t="s">
        <v>159</v>
      </c>
      <c r="N60" s="303"/>
      <c r="O60" s="302">
        <v>43006</v>
      </c>
      <c r="P60" s="259"/>
      <c r="X60" s="84" t="s">
        <v>66</v>
      </c>
      <c r="Y60" s="97">
        <f>COUNTIFS($B:$B,"ELIZABETHTOWN",$C:$C,"USCCB")</f>
        <v>0</v>
      </c>
      <c r="Z60" s="135">
        <f>SUM(AI62:AK62,AM62:AN62,AP62:AU62,AW62:BC62)</f>
        <v>0</v>
      </c>
      <c r="AA60" s="135">
        <f>SUM(BI62:CD62,CF62:CO62,CQ62)</f>
        <v>11</v>
      </c>
      <c r="AB60" s="135">
        <f t="shared" si="78"/>
        <v>0</v>
      </c>
      <c r="AC60" s="135">
        <f>SUM(EQ62:EX62,EZ62)</f>
        <v>0</v>
      </c>
      <c r="AD60" s="135">
        <f>SUM(FF62:FH62)</f>
        <v>0</v>
      </c>
      <c r="AF60" s="159" t="s">
        <v>236</v>
      </c>
      <c r="AG60" s="160" t="s">
        <v>237</v>
      </c>
      <c r="AH60" s="114">
        <f t="shared" si="417"/>
        <v>0</v>
      </c>
      <c r="AI60" s="191">
        <f t="shared" si="450"/>
        <v>0</v>
      </c>
      <c r="AJ60" s="191">
        <f t="shared" si="451"/>
        <v>0</v>
      </c>
      <c r="AK60" s="191">
        <f t="shared" si="452"/>
        <v>0</v>
      </c>
      <c r="AL60" s="136">
        <f t="shared" si="453"/>
        <v>0</v>
      </c>
      <c r="AM60" s="191">
        <f t="shared" si="454"/>
        <v>0</v>
      </c>
      <c r="AN60" s="191">
        <f t="shared" si="455"/>
        <v>0</v>
      </c>
      <c r="AO60" s="191">
        <f t="shared" si="456"/>
        <v>0</v>
      </c>
      <c r="AP60" s="191">
        <f t="shared" si="457"/>
        <v>0</v>
      </c>
      <c r="AQ60" s="191">
        <f t="shared" si="458"/>
        <v>0</v>
      </c>
      <c r="AR60" s="191">
        <f t="shared" si="459"/>
        <v>0</v>
      </c>
      <c r="AS60" s="259">
        <f t="shared" si="428"/>
        <v>0</v>
      </c>
      <c r="AT60" s="191">
        <f t="shared" si="460"/>
        <v>0</v>
      </c>
      <c r="AU60" s="191">
        <f t="shared" si="461"/>
        <v>0</v>
      </c>
      <c r="AV60" s="191">
        <f t="shared" si="462"/>
        <v>0</v>
      </c>
      <c r="AW60" s="191">
        <f t="shared" si="463"/>
        <v>0</v>
      </c>
      <c r="AX60" s="191">
        <f t="shared" si="464"/>
        <v>0</v>
      </c>
      <c r="AY60" s="191">
        <f t="shared" si="465"/>
        <v>0</v>
      </c>
      <c r="AZ60" s="191">
        <f t="shared" si="466"/>
        <v>0</v>
      </c>
      <c r="BA60" s="191">
        <f t="shared" si="467"/>
        <v>0</v>
      </c>
      <c r="BB60" s="191">
        <f t="shared" si="468"/>
        <v>0</v>
      </c>
      <c r="BC60" s="263">
        <f t="shared" si="438"/>
        <v>0</v>
      </c>
      <c r="BD60" s="259">
        <f t="shared" si="439"/>
        <v>0</v>
      </c>
      <c r="BI60" s="191">
        <f t="shared" si="335"/>
        <v>0</v>
      </c>
      <c r="BJ60" s="191">
        <f t="shared" si="336"/>
        <v>0</v>
      </c>
      <c r="BK60" s="191">
        <f t="shared" si="337"/>
        <v>0</v>
      </c>
      <c r="BL60" s="191">
        <f t="shared" si="338"/>
        <v>0</v>
      </c>
      <c r="BM60" s="191">
        <f t="shared" si="339"/>
        <v>0</v>
      </c>
      <c r="BN60" s="191">
        <f t="shared" si="340"/>
        <v>0</v>
      </c>
      <c r="BO60" s="259">
        <f t="shared" si="416"/>
        <v>0</v>
      </c>
      <c r="BP60" s="191">
        <f t="shared" si="341"/>
        <v>0</v>
      </c>
      <c r="BQ60" s="191">
        <f t="shared" si="342"/>
        <v>0</v>
      </c>
      <c r="BR60" s="259">
        <f t="shared" si="440"/>
        <v>0</v>
      </c>
      <c r="BS60" s="191">
        <f t="shared" si="343"/>
        <v>0</v>
      </c>
      <c r="BT60" s="191">
        <f t="shared" si="344"/>
        <v>0</v>
      </c>
      <c r="BU60" s="191">
        <f t="shared" si="345"/>
        <v>0</v>
      </c>
      <c r="BV60" s="259">
        <f t="shared" si="346"/>
        <v>0</v>
      </c>
      <c r="BW60" s="191">
        <f t="shared" si="347"/>
        <v>0</v>
      </c>
      <c r="BX60" s="191">
        <f t="shared" si="348"/>
        <v>0</v>
      </c>
      <c r="BY60" s="191">
        <f t="shared" si="349"/>
        <v>0</v>
      </c>
      <c r="BZ60" s="191">
        <f t="shared" si="350"/>
        <v>0</v>
      </c>
      <c r="CA60" s="191">
        <f t="shared" si="351"/>
        <v>0</v>
      </c>
      <c r="CB60" s="191">
        <f t="shared" si="352"/>
        <v>0</v>
      </c>
      <c r="CC60" s="191">
        <f t="shared" si="353"/>
        <v>0</v>
      </c>
      <c r="CD60" s="191">
        <f t="shared" si="354"/>
        <v>0</v>
      </c>
      <c r="CE60" s="191">
        <f t="shared" si="469"/>
        <v>0</v>
      </c>
      <c r="CF60" s="191">
        <f t="shared" si="355"/>
        <v>0</v>
      </c>
      <c r="CG60" s="191">
        <f t="shared" si="356"/>
        <v>0</v>
      </c>
      <c r="CH60" s="191">
        <f t="shared" si="357"/>
        <v>0</v>
      </c>
      <c r="CI60" s="191">
        <f t="shared" si="358"/>
        <v>0</v>
      </c>
      <c r="CJ60" s="191">
        <f t="shared" si="359"/>
        <v>0</v>
      </c>
      <c r="CK60" s="191">
        <f t="shared" si="360"/>
        <v>0</v>
      </c>
      <c r="CL60" s="191">
        <f t="shared" si="361"/>
        <v>0</v>
      </c>
      <c r="CM60" s="191">
        <f t="shared" si="362"/>
        <v>0</v>
      </c>
      <c r="CN60" s="191">
        <f t="shared" si="363"/>
        <v>0</v>
      </c>
      <c r="CO60" s="191">
        <f t="shared" si="364"/>
        <v>0</v>
      </c>
      <c r="CP60" s="191">
        <f t="shared" si="470"/>
        <v>0</v>
      </c>
      <c r="CQ60" s="191">
        <f t="shared" si="365"/>
        <v>0</v>
      </c>
      <c r="CW60" s="191">
        <f t="shared" si="366"/>
        <v>0</v>
      </c>
      <c r="CX60" s="191">
        <f t="shared" si="367"/>
        <v>0</v>
      </c>
      <c r="CY60" s="191">
        <f t="shared" si="368"/>
        <v>0</v>
      </c>
      <c r="CZ60" s="191">
        <f t="shared" si="369"/>
        <v>0</v>
      </c>
      <c r="DA60" s="191">
        <f t="shared" si="471"/>
        <v>0</v>
      </c>
      <c r="DB60" s="191">
        <f t="shared" si="370"/>
        <v>0</v>
      </c>
      <c r="DC60" s="191">
        <f t="shared" si="371"/>
        <v>0</v>
      </c>
      <c r="DD60" s="191">
        <f t="shared" si="372"/>
        <v>0</v>
      </c>
      <c r="DE60" s="191">
        <f t="shared" si="472"/>
        <v>0</v>
      </c>
      <c r="DF60" s="191">
        <f t="shared" si="373"/>
        <v>0</v>
      </c>
      <c r="DG60" s="191">
        <f t="shared" si="374"/>
        <v>0</v>
      </c>
      <c r="DH60" s="191">
        <f t="shared" si="375"/>
        <v>0</v>
      </c>
      <c r="DI60" s="191">
        <f t="shared" si="376"/>
        <v>0</v>
      </c>
      <c r="DJ60" s="191">
        <f t="shared" si="377"/>
        <v>0</v>
      </c>
      <c r="DK60" s="191">
        <f t="shared" si="378"/>
        <v>0</v>
      </c>
      <c r="DL60" s="191">
        <f t="shared" si="379"/>
        <v>0</v>
      </c>
      <c r="DM60" s="191">
        <f t="shared" si="380"/>
        <v>0</v>
      </c>
      <c r="DN60" s="191">
        <f t="shared" si="381"/>
        <v>0</v>
      </c>
      <c r="DO60" s="191">
        <f t="shared" si="382"/>
        <v>0</v>
      </c>
      <c r="DP60" s="191">
        <f t="shared" si="383"/>
        <v>0</v>
      </c>
      <c r="DQ60" s="259">
        <f>COUNTIFS($B:$B,"ELKINS PARK",$C:$C,"USCRI",$M:$M,AG60)</f>
        <v>0</v>
      </c>
      <c r="DR60" s="191">
        <f t="shared" si="384"/>
        <v>0</v>
      </c>
      <c r="DS60" s="191">
        <f t="shared" si="385"/>
        <v>0</v>
      </c>
      <c r="DT60" s="191">
        <f t="shared" si="386"/>
        <v>0</v>
      </c>
      <c r="DU60" s="191">
        <f t="shared" si="387"/>
        <v>0</v>
      </c>
      <c r="DV60" s="191">
        <f t="shared" si="388"/>
        <v>0</v>
      </c>
      <c r="DW60" s="191">
        <f t="shared" si="389"/>
        <v>0</v>
      </c>
      <c r="DX60" s="191">
        <f t="shared" si="390"/>
        <v>0</v>
      </c>
      <c r="DY60" s="191">
        <f t="shared" si="391"/>
        <v>0</v>
      </c>
      <c r="DZ60" s="191">
        <f t="shared" si="392"/>
        <v>0</v>
      </c>
      <c r="EA60" s="191">
        <f t="shared" si="393"/>
        <v>0</v>
      </c>
      <c r="EB60" s="191">
        <f t="shared" si="394"/>
        <v>0</v>
      </c>
      <c r="EC60" s="263">
        <f t="shared" si="445"/>
        <v>0</v>
      </c>
      <c r="ED60" s="191">
        <f t="shared" si="395"/>
        <v>0</v>
      </c>
      <c r="EE60" s="191">
        <f t="shared" si="396"/>
        <v>0</v>
      </c>
      <c r="EF60" s="191">
        <f t="shared" si="397"/>
        <v>0</v>
      </c>
      <c r="EG60" s="191">
        <f t="shared" si="398"/>
        <v>0</v>
      </c>
      <c r="EH60" s="191">
        <f t="shared" si="399"/>
        <v>0</v>
      </c>
      <c r="EI60" s="191">
        <f t="shared" si="400"/>
        <v>0</v>
      </c>
      <c r="EJ60" s="259">
        <f t="shared" si="114"/>
        <v>0</v>
      </c>
      <c r="EK60" s="191">
        <f t="shared" si="401"/>
        <v>0</v>
      </c>
      <c r="EL60" s="191">
        <f t="shared" si="402"/>
        <v>0</v>
      </c>
      <c r="EM60" s="259">
        <f t="shared" si="446"/>
        <v>0</v>
      </c>
      <c r="EN60" s="259">
        <f t="shared" si="403"/>
        <v>0</v>
      </c>
      <c r="EO60" s="259">
        <f t="shared" si="447"/>
        <v>0</v>
      </c>
      <c r="EQ60" s="191">
        <f t="shared" si="404"/>
        <v>0</v>
      </c>
      <c r="ER60" s="191">
        <f t="shared" si="405"/>
        <v>0</v>
      </c>
      <c r="ES60" s="191">
        <f t="shared" si="406"/>
        <v>0</v>
      </c>
      <c r="ET60" s="191">
        <f t="shared" si="407"/>
        <v>0</v>
      </c>
      <c r="EU60" s="191">
        <f t="shared" si="408"/>
        <v>0</v>
      </c>
      <c r="EV60" s="191">
        <f t="shared" si="409"/>
        <v>0</v>
      </c>
      <c r="EW60" s="191">
        <f t="shared" si="410"/>
        <v>0</v>
      </c>
      <c r="EX60" s="191">
        <f t="shared" si="411"/>
        <v>0</v>
      </c>
      <c r="EY60" s="191">
        <f t="shared" si="473"/>
        <v>0</v>
      </c>
      <c r="EZ60" s="191">
        <f t="shared" si="412"/>
        <v>0</v>
      </c>
      <c r="FF60" s="191">
        <f t="shared" si="413"/>
        <v>0</v>
      </c>
      <c r="FG60" s="191">
        <f t="shared" si="414"/>
        <v>0</v>
      </c>
      <c r="FH60" s="191">
        <f t="shared" si="415"/>
        <v>0</v>
      </c>
      <c r="FI60" s="191">
        <f t="shared" si="474"/>
        <v>0</v>
      </c>
      <c r="FL60" s="159" t="s">
        <v>236</v>
      </c>
      <c r="FM60" s="160" t="s">
        <v>237</v>
      </c>
    </row>
    <row r="61" spans="1:169" ht="15.75" thickBot="1" x14ac:dyDescent="0.3">
      <c r="A61" s="304">
        <v>59</v>
      </c>
      <c r="B61" s="299" t="s">
        <v>8</v>
      </c>
      <c r="C61" s="300" t="s">
        <v>1</v>
      </c>
      <c r="D61" s="299"/>
      <c r="E61" s="301"/>
      <c r="F61" s="301"/>
      <c r="G61" s="301"/>
      <c r="H61" s="299"/>
      <c r="I61" s="299"/>
      <c r="J61" s="299"/>
      <c r="K61" s="301"/>
      <c r="L61" s="302"/>
      <c r="M61" s="301" t="s">
        <v>159</v>
      </c>
      <c r="N61" s="303"/>
      <c r="O61" s="302">
        <v>43006</v>
      </c>
      <c r="P61" s="259"/>
      <c r="X61" s="84" t="s">
        <v>111</v>
      </c>
      <c r="Y61" s="97">
        <f>COUNTIFS($B:$B,"ENOLA",$C:$C,"USCCB")</f>
        <v>6</v>
      </c>
      <c r="Z61" s="135">
        <f>SUM(AI63:AK63,AM63:AN63,AP63:AU63,AW63:BC63)</f>
        <v>0</v>
      </c>
      <c r="AA61" s="135">
        <f>SUM(BI63:CD63,CF63:CO63,CQ63)</f>
        <v>0</v>
      </c>
      <c r="AB61" s="135">
        <f t="shared" si="78"/>
        <v>0</v>
      </c>
      <c r="AC61" s="135">
        <f>SUM(EQ63:EX63,EZ63)</f>
        <v>0</v>
      </c>
      <c r="AD61" s="135">
        <f>SUM(FF63:FH63)</f>
        <v>0</v>
      </c>
      <c r="AF61" s="159" t="s">
        <v>238</v>
      </c>
      <c r="AG61" s="160" t="s">
        <v>239</v>
      </c>
      <c r="AH61" s="114">
        <f t="shared" si="417"/>
        <v>0</v>
      </c>
      <c r="AI61" s="191">
        <f t="shared" si="450"/>
        <v>0</v>
      </c>
      <c r="AJ61" s="191">
        <f t="shared" si="451"/>
        <v>0</v>
      </c>
      <c r="AK61" s="191">
        <f t="shared" si="452"/>
        <v>0</v>
      </c>
      <c r="AL61" s="136">
        <f t="shared" si="453"/>
        <v>0</v>
      </c>
      <c r="AM61" s="191">
        <f t="shared" si="454"/>
        <v>0</v>
      </c>
      <c r="AN61" s="191">
        <f t="shared" si="455"/>
        <v>0</v>
      </c>
      <c r="AO61" s="191">
        <f t="shared" si="456"/>
        <v>0</v>
      </c>
      <c r="AP61" s="191">
        <f t="shared" si="457"/>
        <v>0</v>
      </c>
      <c r="AQ61" s="191">
        <f t="shared" si="458"/>
        <v>0</v>
      </c>
      <c r="AR61" s="191">
        <f t="shared" si="459"/>
        <v>0</v>
      </c>
      <c r="AS61" s="259">
        <f t="shared" si="428"/>
        <v>0</v>
      </c>
      <c r="AT61" s="191">
        <f t="shared" si="460"/>
        <v>0</v>
      </c>
      <c r="AU61" s="191">
        <f t="shared" si="461"/>
        <v>0</v>
      </c>
      <c r="AV61" s="191">
        <f t="shared" si="462"/>
        <v>0</v>
      </c>
      <c r="AW61" s="191">
        <f t="shared" si="463"/>
        <v>0</v>
      </c>
      <c r="AX61" s="191">
        <f t="shared" si="464"/>
        <v>0</v>
      </c>
      <c r="AY61" s="191">
        <f t="shared" si="465"/>
        <v>0</v>
      </c>
      <c r="AZ61" s="191">
        <f t="shared" si="466"/>
        <v>0</v>
      </c>
      <c r="BA61" s="191">
        <f t="shared" si="467"/>
        <v>0</v>
      </c>
      <c r="BB61" s="191">
        <f t="shared" si="468"/>
        <v>0</v>
      </c>
      <c r="BC61" s="263">
        <f t="shared" si="438"/>
        <v>0</v>
      </c>
      <c r="BD61" s="259">
        <f t="shared" si="439"/>
        <v>0</v>
      </c>
      <c r="BI61" s="191">
        <f t="shared" si="335"/>
        <v>0</v>
      </c>
      <c r="BJ61" s="191">
        <f t="shared" si="336"/>
        <v>0</v>
      </c>
      <c r="BK61" s="191">
        <f t="shared" si="337"/>
        <v>0</v>
      </c>
      <c r="BL61" s="191">
        <f t="shared" si="338"/>
        <v>0</v>
      </c>
      <c r="BM61" s="191">
        <f t="shared" si="339"/>
        <v>0</v>
      </c>
      <c r="BN61" s="191">
        <f t="shared" si="340"/>
        <v>0</v>
      </c>
      <c r="BO61" s="259">
        <f t="shared" si="416"/>
        <v>0</v>
      </c>
      <c r="BP61" s="191">
        <f t="shared" si="341"/>
        <v>0</v>
      </c>
      <c r="BQ61" s="191">
        <f t="shared" si="342"/>
        <v>0</v>
      </c>
      <c r="BR61" s="259">
        <f t="shared" si="440"/>
        <v>0</v>
      </c>
      <c r="BS61" s="191">
        <f t="shared" si="343"/>
        <v>0</v>
      </c>
      <c r="BT61" s="191">
        <f t="shared" si="344"/>
        <v>0</v>
      </c>
      <c r="BU61" s="191">
        <f t="shared" si="345"/>
        <v>0</v>
      </c>
      <c r="BV61" s="259">
        <f t="shared" si="346"/>
        <v>0</v>
      </c>
      <c r="BW61" s="191">
        <f t="shared" si="347"/>
        <v>0</v>
      </c>
      <c r="BX61" s="191">
        <f t="shared" si="348"/>
        <v>0</v>
      </c>
      <c r="BY61" s="191">
        <f t="shared" si="349"/>
        <v>0</v>
      </c>
      <c r="BZ61" s="191">
        <f t="shared" si="350"/>
        <v>0</v>
      </c>
      <c r="CA61" s="191">
        <f t="shared" si="351"/>
        <v>0</v>
      </c>
      <c r="CB61" s="191">
        <f t="shared" si="352"/>
        <v>0</v>
      </c>
      <c r="CC61" s="191">
        <f t="shared" si="353"/>
        <v>0</v>
      </c>
      <c r="CD61" s="191">
        <f t="shared" si="354"/>
        <v>0</v>
      </c>
      <c r="CE61" s="191">
        <f t="shared" si="469"/>
        <v>0</v>
      </c>
      <c r="CF61" s="191">
        <f t="shared" si="355"/>
        <v>0</v>
      </c>
      <c r="CG61" s="191">
        <f t="shared" si="356"/>
        <v>0</v>
      </c>
      <c r="CH61" s="191">
        <f t="shared" si="357"/>
        <v>0</v>
      </c>
      <c r="CI61" s="191">
        <f t="shared" si="358"/>
        <v>0</v>
      </c>
      <c r="CJ61" s="191">
        <f t="shared" si="359"/>
        <v>0</v>
      </c>
      <c r="CK61" s="191">
        <f t="shared" si="360"/>
        <v>0</v>
      </c>
      <c r="CL61" s="191">
        <f t="shared" si="361"/>
        <v>0</v>
      </c>
      <c r="CM61" s="191">
        <f t="shared" si="362"/>
        <v>0</v>
      </c>
      <c r="CN61" s="191">
        <f t="shared" si="363"/>
        <v>0</v>
      </c>
      <c r="CO61" s="191">
        <f t="shared" si="364"/>
        <v>0</v>
      </c>
      <c r="CP61" s="191">
        <f t="shared" si="470"/>
        <v>0</v>
      </c>
      <c r="CQ61" s="191">
        <f t="shared" si="365"/>
        <v>0</v>
      </c>
      <c r="CW61" s="191">
        <f t="shared" si="366"/>
        <v>0</v>
      </c>
      <c r="CX61" s="191">
        <f t="shared" si="367"/>
        <v>0</v>
      </c>
      <c r="CY61" s="191">
        <f t="shared" si="368"/>
        <v>0</v>
      </c>
      <c r="CZ61" s="191">
        <f t="shared" si="369"/>
        <v>0</v>
      </c>
      <c r="DA61" s="191">
        <f t="shared" si="471"/>
        <v>0</v>
      </c>
      <c r="DB61" s="191">
        <f t="shared" si="370"/>
        <v>0</v>
      </c>
      <c r="DC61" s="191">
        <f t="shared" si="371"/>
        <v>0</v>
      </c>
      <c r="DD61" s="191">
        <f t="shared" si="372"/>
        <v>0</v>
      </c>
      <c r="DE61" s="191">
        <f t="shared" si="472"/>
        <v>0</v>
      </c>
      <c r="DF61" s="191">
        <f t="shared" si="373"/>
        <v>0</v>
      </c>
      <c r="DG61" s="191">
        <f t="shared" si="374"/>
        <v>0</v>
      </c>
      <c r="DH61" s="191">
        <f t="shared" si="375"/>
        <v>0</v>
      </c>
      <c r="DI61" s="191">
        <f t="shared" si="376"/>
        <v>0</v>
      </c>
      <c r="DJ61" s="191">
        <f t="shared" si="377"/>
        <v>0</v>
      </c>
      <c r="DK61" s="191">
        <f t="shared" si="378"/>
        <v>0</v>
      </c>
      <c r="DL61" s="191">
        <f t="shared" si="379"/>
        <v>0</v>
      </c>
      <c r="DM61" s="191">
        <f t="shared" si="380"/>
        <v>0</v>
      </c>
      <c r="DN61" s="191">
        <f t="shared" si="381"/>
        <v>0</v>
      </c>
      <c r="DO61" s="191">
        <f t="shared" si="382"/>
        <v>0</v>
      </c>
      <c r="DP61" s="191">
        <f t="shared" si="383"/>
        <v>0</v>
      </c>
      <c r="DQ61" s="259">
        <f>COUNTIFS($B:$B,"ELKINS PARK",$C:$C,"USCRI",$M:$M,AG61)</f>
        <v>0</v>
      </c>
      <c r="DR61" s="191">
        <f t="shared" si="384"/>
        <v>0</v>
      </c>
      <c r="DS61" s="191">
        <f t="shared" si="385"/>
        <v>0</v>
      </c>
      <c r="DT61" s="191">
        <f t="shared" si="386"/>
        <v>0</v>
      </c>
      <c r="DU61" s="191">
        <f t="shared" si="387"/>
        <v>0</v>
      </c>
      <c r="DV61" s="191">
        <f t="shared" si="388"/>
        <v>0</v>
      </c>
      <c r="DW61" s="191">
        <f t="shared" si="389"/>
        <v>0</v>
      </c>
      <c r="DX61" s="191">
        <f t="shared" si="390"/>
        <v>0</v>
      </c>
      <c r="DY61" s="191">
        <f t="shared" si="391"/>
        <v>0</v>
      </c>
      <c r="DZ61" s="191">
        <f t="shared" si="392"/>
        <v>0</v>
      </c>
      <c r="EA61" s="191">
        <f t="shared" si="393"/>
        <v>0</v>
      </c>
      <c r="EB61" s="191">
        <f t="shared" si="394"/>
        <v>0</v>
      </c>
      <c r="EC61" s="263">
        <f t="shared" si="445"/>
        <v>0</v>
      </c>
      <c r="ED61" s="191">
        <f t="shared" si="395"/>
        <v>0</v>
      </c>
      <c r="EE61" s="191">
        <f t="shared" si="396"/>
        <v>0</v>
      </c>
      <c r="EF61" s="191">
        <f t="shared" si="397"/>
        <v>0</v>
      </c>
      <c r="EG61" s="191">
        <f t="shared" si="398"/>
        <v>0</v>
      </c>
      <c r="EH61" s="191">
        <f t="shared" si="399"/>
        <v>0</v>
      </c>
      <c r="EI61" s="191">
        <f t="shared" si="400"/>
        <v>0</v>
      </c>
      <c r="EJ61" s="259">
        <f t="shared" si="114"/>
        <v>0</v>
      </c>
      <c r="EK61" s="191">
        <f t="shared" si="401"/>
        <v>0</v>
      </c>
      <c r="EL61" s="191">
        <f t="shared" si="402"/>
        <v>0</v>
      </c>
      <c r="EM61" s="259">
        <f t="shared" si="446"/>
        <v>0</v>
      </c>
      <c r="EN61" s="259">
        <f t="shared" si="403"/>
        <v>0</v>
      </c>
      <c r="EO61" s="259">
        <f t="shared" si="447"/>
        <v>0</v>
      </c>
      <c r="EQ61" s="191">
        <f t="shared" si="404"/>
        <v>0</v>
      </c>
      <c r="ER61" s="191">
        <f t="shared" si="405"/>
        <v>0</v>
      </c>
      <c r="ES61" s="191">
        <f t="shared" si="406"/>
        <v>0</v>
      </c>
      <c r="ET61" s="191">
        <f t="shared" si="407"/>
        <v>0</v>
      </c>
      <c r="EU61" s="191">
        <f t="shared" si="408"/>
        <v>0</v>
      </c>
      <c r="EV61" s="191">
        <f t="shared" si="409"/>
        <v>0</v>
      </c>
      <c r="EW61" s="191">
        <f t="shared" si="410"/>
        <v>0</v>
      </c>
      <c r="EX61" s="191">
        <f t="shared" si="411"/>
        <v>0</v>
      </c>
      <c r="EY61" s="191">
        <f t="shared" si="473"/>
        <v>0</v>
      </c>
      <c r="EZ61" s="191">
        <f t="shared" si="412"/>
        <v>0</v>
      </c>
      <c r="FF61" s="191">
        <f t="shared" si="413"/>
        <v>0</v>
      </c>
      <c r="FG61" s="191">
        <f t="shared" si="414"/>
        <v>0</v>
      </c>
      <c r="FH61" s="191">
        <f t="shared" si="415"/>
        <v>0</v>
      </c>
      <c r="FI61" s="191">
        <f t="shared" si="474"/>
        <v>0</v>
      </c>
      <c r="FL61" s="159" t="s">
        <v>238</v>
      </c>
      <c r="FM61" s="160" t="s">
        <v>239</v>
      </c>
    </row>
    <row r="62" spans="1:169" ht="15.75" thickBot="1" x14ac:dyDescent="0.3">
      <c r="A62" s="304">
        <v>60</v>
      </c>
      <c r="B62" s="299" t="s">
        <v>8</v>
      </c>
      <c r="C62" s="300" t="s">
        <v>1</v>
      </c>
      <c r="D62" s="299"/>
      <c r="E62" s="301"/>
      <c r="F62" s="301"/>
      <c r="G62" s="301"/>
      <c r="H62" s="299"/>
      <c r="I62" s="299"/>
      <c r="J62" s="299"/>
      <c r="K62" s="301"/>
      <c r="L62" s="302"/>
      <c r="M62" s="301" t="s">
        <v>159</v>
      </c>
      <c r="N62" s="303"/>
      <c r="O62" s="302">
        <v>43006</v>
      </c>
      <c r="P62" s="259"/>
      <c r="X62" s="84" t="s">
        <v>777</v>
      </c>
      <c r="Y62" s="97">
        <f>COUNTIFS($B:$B,"ETTERS",$C:$C,"USCCB")</f>
        <v>2</v>
      </c>
      <c r="Z62" s="135">
        <f>SUM(AI64:AK64,AM64:AN64,AP64:AU64,AW64:BC64)</f>
        <v>0</v>
      </c>
      <c r="AA62" s="135">
        <f>SUM(BI64:CD64,CF64:CO64,CQ64)</f>
        <v>0</v>
      </c>
      <c r="AB62" s="135">
        <f t="shared" si="78"/>
        <v>0</v>
      </c>
      <c r="AC62" s="135">
        <f>SUM(EQ64:EX64,EZ64)</f>
        <v>0</v>
      </c>
      <c r="AD62" s="135">
        <f>SUM(FF64:FH64)</f>
        <v>0</v>
      </c>
      <c r="AF62" s="159" t="s">
        <v>240</v>
      </c>
      <c r="AG62" s="160" t="s">
        <v>241</v>
      </c>
      <c r="AH62" s="114">
        <f t="shared" si="417"/>
        <v>11</v>
      </c>
      <c r="AI62" s="191">
        <f t="shared" si="450"/>
        <v>0</v>
      </c>
      <c r="AJ62" s="191">
        <f t="shared" si="451"/>
        <v>0</v>
      </c>
      <c r="AK62" s="191">
        <f t="shared" si="452"/>
        <v>0</v>
      </c>
      <c r="AL62" s="136">
        <f t="shared" si="453"/>
        <v>0</v>
      </c>
      <c r="AM62" s="191">
        <f t="shared" si="454"/>
        <v>0</v>
      </c>
      <c r="AN62" s="191">
        <f t="shared" si="455"/>
        <v>0</v>
      </c>
      <c r="AO62" s="191">
        <f t="shared" si="456"/>
        <v>0</v>
      </c>
      <c r="AP62" s="191">
        <f t="shared" si="457"/>
        <v>0</v>
      </c>
      <c r="AQ62" s="191">
        <f t="shared" si="458"/>
        <v>0</v>
      </c>
      <c r="AR62" s="191">
        <f t="shared" si="459"/>
        <v>0</v>
      </c>
      <c r="AS62" s="259">
        <f t="shared" si="428"/>
        <v>0</v>
      </c>
      <c r="AT62" s="191">
        <f t="shared" si="460"/>
        <v>0</v>
      </c>
      <c r="AU62" s="191">
        <f t="shared" si="461"/>
        <v>0</v>
      </c>
      <c r="AV62" s="191">
        <f t="shared" si="462"/>
        <v>0</v>
      </c>
      <c r="AW62" s="191">
        <f t="shared" si="463"/>
        <v>0</v>
      </c>
      <c r="AX62" s="191">
        <f t="shared" si="464"/>
        <v>0</v>
      </c>
      <c r="AY62" s="191">
        <f t="shared" si="465"/>
        <v>0</v>
      </c>
      <c r="AZ62" s="191">
        <f t="shared" si="466"/>
        <v>0</v>
      </c>
      <c r="BA62" s="191">
        <f t="shared" si="467"/>
        <v>0</v>
      </c>
      <c r="BB62" s="191">
        <f t="shared" si="468"/>
        <v>0</v>
      </c>
      <c r="BC62" s="263">
        <f t="shared" si="438"/>
        <v>0</v>
      </c>
      <c r="BD62" s="259">
        <f t="shared" si="439"/>
        <v>0</v>
      </c>
      <c r="BI62" s="191">
        <f t="shared" si="335"/>
        <v>0</v>
      </c>
      <c r="BJ62" s="191">
        <f t="shared" si="336"/>
        <v>0</v>
      </c>
      <c r="BK62" s="191">
        <f t="shared" si="337"/>
        <v>0</v>
      </c>
      <c r="BL62" s="191">
        <f t="shared" si="338"/>
        <v>0</v>
      </c>
      <c r="BM62" s="191">
        <f t="shared" si="339"/>
        <v>0</v>
      </c>
      <c r="BN62" s="191">
        <f t="shared" si="340"/>
        <v>5</v>
      </c>
      <c r="BO62" s="259">
        <f t="shared" si="416"/>
        <v>2</v>
      </c>
      <c r="BP62" s="191">
        <f t="shared" si="341"/>
        <v>0</v>
      </c>
      <c r="BQ62" s="191">
        <f t="shared" si="342"/>
        <v>0</v>
      </c>
      <c r="BR62" s="259">
        <f t="shared" si="440"/>
        <v>0</v>
      </c>
      <c r="BS62" s="191">
        <f t="shared" si="343"/>
        <v>0</v>
      </c>
      <c r="BT62" s="191">
        <f t="shared" si="344"/>
        <v>0</v>
      </c>
      <c r="BU62" s="191">
        <f t="shared" si="345"/>
        <v>0</v>
      </c>
      <c r="BV62" s="259">
        <f t="shared" si="346"/>
        <v>0</v>
      </c>
      <c r="BW62" s="191">
        <f t="shared" si="347"/>
        <v>0</v>
      </c>
      <c r="BX62" s="191">
        <f t="shared" si="348"/>
        <v>0</v>
      </c>
      <c r="BY62" s="191">
        <f t="shared" si="349"/>
        <v>0</v>
      </c>
      <c r="BZ62" s="191">
        <f t="shared" si="350"/>
        <v>0</v>
      </c>
      <c r="CA62" s="191">
        <f t="shared" si="351"/>
        <v>0</v>
      </c>
      <c r="CB62" s="191">
        <f t="shared" si="352"/>
        <v>0</v>
      </c>
      <c r="CC62" s="191">
        <f t="shared" si="353"/>
        <v>0</v>
      </c>
      <c r="CD62" s="191">
        <f t="shared" si="354"/>
        <v>0</v>
      </c>
      <c r="CE62" s="191">
        <f t="shared" si="469"/>
        <v>7</v>
      </c>
      <c r="CF62" s="191">
        <f t="shared" si="355"/>
        <v>0</v>
      </c>
      <c r="CG62" s="191">
        <f t="shared" si="356"/>
        <v>0</v>
      </c>
      <c r="CH62" s="191">
        <f t="shared" si="357"/>
        <v>0</v>
      </c>
      <c r="CI62" s="191">
        <f t="shared" si="358"/>
        <v>4</v>
      </c>
      <c r="CJ62" s="191">
        <f t="shared" si="359"/>
        <v>0</v>
      </c>
      <c r="CK62" s="191">
        <f t="shared" si="360"/>
        <v>0</v>
      </c>
      <c r="CL62" s="191">
        <f t="shared" si="361"/>
        <v>0</v>
      </c>
      <c r="CM62" s="191">
        <f t="shared" si="362"/>
        <v>0</v>
      </c>
      <c r="CN62" s="191">
        <f t="shared" si="363"/>
        <v>0</v>
      </c>
      <c r="CO62" s="191">
        <f t="shared" si="364"/>
        <v>0</v>
      </c>
      <c r="CP62" s="191">
        <f t="shared" si="470"/>
        <v>0</v>
      </c>
      <c r="CQ62" s="191">
        <f t="shared" si="365"/>
        <v>0</v>
      </c>
      <c r="CW62" s="191">
        <f t="shared" si="366"/>
        <v>0</v>
      </c>
      <c r="CX62" s="191">
        <f t="shared" si="367"/>
        <v>0</v>
      </c>
      <c r="CY62" s="191">
        <f t="shared" si="368"/>
        <v>0</v>
      </c>
      <c r="CZ62" s="191">
        <f t="shared" si="369"/>
        <v>0</v>
      </c>
      <c r="DA62" s="191">
        <f t="shared" si="471"/>
        <v>0</v>
      </c>
      <c r="DB62" s="191">
        <f t="shared" si="370"/>
        <v>0</v>
      </c>
      <c r="DC62" s="191">
        <f t="shared" si="371"/>
        <v>0</v>
      </c>
      <c r="DD62" s="191">
        <f t="shared" si="372"/>
        <v>0</v>
      </c>
      <c r="DE62" s="191">
        <f t="shared" si="472"/>
        <v>0</v>
      </c>
      <c r="DF62" s="191">
        <f t="shared" si="373"/>
        <v>0</v>
      </c>
      <c r="DG62" s="191">
        <f t="shared" si="374"/>
        <v>0</v>
      </c>
      <c r="DH62" s="191">
        <f t="shared" si="375"/>
        <v>0</v>
      </c>
      <c r="DI62" s="191">
        <f t="shared" si="376"/>
        <v>0</v>
      </c>
      <c r="DJ62" s="191">
        <f t="shared" si="377"/>
        <v>0</v>
      </c>
      <c r="DK62" s="191">
        <f t="shared" si="378"/>
        <v>0</v>
      </c>
      <c r="DL62" s="191">
        <f t="shared" si="379"/>
        <v>0</v>
      </c>
      <c r="DM62" s="191">
        <f t="shared" si="380"/>
        <v>0</v>
      </c>
      <c r="DN62" s="191">
        <f t="shared" si="381"/>
        <v>0</v>
      </c>
      <c r="DO62" s="191">
        <f t="shared" si="382"/>
        <v>0</v>
      </c>
      <c r="DP62" s="191">
        <f t="shared" si="383"/>
        <v>0</v>
      </c>
      <c r="DQ62" s="259">
        <f>COUNTIFS($B:$B,"ELKINS PARK",$C:$C,"USCRI",$M:$M,AG62)</f>
        <v>0</v>
      </c>
      <c r="DR62" s="191">
        <f t="shared" si="384"/>
        <v>0</v>
      </c>
      <c r="DS62" s="191">
        <f t="shared" si="385"/>
        <v>0</v>
      </c>
      <c r="DT62" s="191">
        <f t="shared" si="386"/>
        <v>0</v>
      </c>
      <c r="DU62" s="191">
        <f t="shared" si="387"/>
        <v>0</v>
      </c>
      <c r="DV62" s="191">
        <f t="shared" si="388"/>
        <v>0</v>
      </c>
      <c r="DW62" s="191">
        <f t="shared" si="389"/>
        <v>0</v>
      </c>
      <c r="DX62" s="191">
        <f t="shared" si="390"/>
        <v>0</v>
      </c>
      <c r="DY62" s="191">
        <f t="shared" si="391"/>
        <v>0</v>
      </c>
      <c r="DZ62" s="191">
        <f t="shared" si="392"/>
        <v>0</v>
      </c>
      <c r="EA62" s="191">
        <f t="shared" si="393"/>
        <v>0</v>
      </c>
      <c r="EB62" s="191">
        <f t="shared" si="394"/>
        <v>0</v>
      </c>
      <c r="EC62" s="263">
        <f t="shared" si="445"/>
        <v>0</v>
      </c>
      <c r="ED62" s="191">
        <f t="shared" si="395"/>
        <v>0</v>
      </c>
      <c r="EE62" s="191">
        <f t="shared" si="396"/>
        <v>0</v>
      </c>
      <c r="EF62" s="191">
        <f t="shared" si="397"/>
        <v>0</v>
      </c>
      <c r="EG62" s="191">
        <f t="shared" si="398"/>
        <v>0</v>
      </c>
      <c r="EH62" s="191">
        <f t="shared" si="399"/>
        <v>0</v>
      </c>
      <c r="EI62" s="191">
        <f t="shared" si="400"/>
        <v>0</v>
      </c>
      <c r="EJ62" s="259">
        <f t="shared" si="114"/>
        <v>0</v>
      </c>
      <c r="EK62" s="191">
        <f t="shared" si="401"/>
        <v>0</v>
      </c>
      <c r="EL62" s="191">
        <f t="shared" si="402"/>
        <v>0</v>
      </c>
      <c r="EM62" s="259">
        <f t="shared" si="446"/>
        <v>0</v>
      </c>
      <c r="EN62" s="259">
        <f t="shared" si="403"/>
        <v>0</v>
      </c>
      <c r="EO62" s="259">
        <f t="shared" si="447"/>
        <v>0</v>
      </c>
      <c r="EQ62" s="191">
        <f t="shared" si="404"/>
        <v>0</v>
      </c>
      <c r="ER62" s="191">
        <f t="shared" si="405"/>
        <v>0</v>
      </c>
      <c r="ES62" s="191">
        <f t="shared" si="406"/>
        <v>0</v>
      </c>
      <c r="ET62" s="191">
        <f t="shared" si="407"/>
        <v>0</v>
      </c>
      <c r="EU62" s="191">
        <f t="shared" si="408"/>
        <v>0</v>
      </c>
      <c r="EV62" s="191">
        <f t="shared" si="409"/>
        <v>0</v>
      </c>
      <c r="EW62" s="191">
        <f t="shared" si="410"/>
        <v>0</v>
      </c>
      <c r="EX62" s="191">
        <f t="shared" si="411"/>
        <v>0</v>
      </c>
      <c r="EY62" s="191">
        <f t="shared" si="473"/>
        <v>0</v>
      </c>
      <c r="EZ62" s="191">
        <f t="shared" si="412"/>
        <v>0</v>
      </c>
      <c r="FF62" s="191">
        <f t="shared" si="413"/>
        <v>0</v>
      </c>
      <c r="FG62" s="191">
        <f t="shared" si="414"/>
        <v>0</v>
      </c>
      <c r="FH62" s="191">
        <f t="shared" si="415"/>
        <v>0</v>
      </c>
      <c r="FI62" s="191">
        <f t="shared" si="474"/>
        <v>0</v>
      </c>
      <c r="FL62" s="159" t="s">
        <v>240</v>
      </c>
      <c r="FM62" s="160" t="s">
        <v>241</v>
      </c>
    </row>
    <row r="63" spans="1:169" ht="15.75" thickBot="1" x14ac:dyDescent="0.3">
      <c r="A63" s="304">
        <v>61</v>
      </c>
      <c r="B63" s="299" t="s">
        <v>8</v>
      </c>
      <c r="C63" s="300" t="s">
        <v>1</v>
      </c>
      <c r="D63" s="299"/>
      <c r="E63" s="301"/>
      <c r="F63" s="301"/>
      <c r="G63" s="301"/>
      <c r="H63" s="299"/>
      <c r="I63" s="299"/>
      <c r="J63" s="299"/>
      <c r="K63" s="301"/>
      <c r="L63" s="302"/>
      <c r="M63" s="301" t="s">
        <v>159</v>
      </c>
      <c r="N63" s="303"/>
      <c r="O63" s="302">
        <v>43006</v>
      </c>
      <c r="P63" s="259"/>
      <c r="X63" s="84" t="s">
        <v>67</v>
      </c>
      <c r="Y63" s="97">
        <f>COUNTIFS($B:$B,"GETTYSBURG",$C:$C,"USCCB")</f>
        <v>0</v>
      </c>
      <c r="Z63" s="135">
        <f>SUM(AI65:AK65,AM65:AN65,AP65:AU65,AW65:BC65)</f>
        <v>0</v>
      </c>
      <c r="AA63" s="135">
        <f>SUM(BI65:CD65,CF65:CO65,CQ65)</f>
        <v>0</v>
      </c>
      <c r="AB63" s="135">
        <f t="shared" si="78"/>
        <v>0</v>
      </c>
      <c r="AC63" s="135">
        <f>SUM(EQ65:EX65,EZ65)</f>
        <v>0</v>
      </c>
      <c r="AD63" s="135">
        <f>SUM(FF65:FH65)</f>
        <v>0</v>
      </c>
      <c r="AF63" s="159" t="s">
        <v>242</v>
      </c>
      <c r="AG63" s="160" t="s">
        <v>243</v>
      </c>
      <c r="AH63" s="114">
        <f t="shared" si="417"/>
        <v>0</v>
      </c>
      <c r="AI63" s="191">
        <f t="shared" si="450"/>
        <v>0</v>
      </c>
      <c r="AJ63" s="191">
        <f t="shared" si="451"/>
        <v>0</v>
      </c>
      <c r="AK63" s="191">
        <f t="shared" si="452"/>
        <v>0</v>
      </c>
      <c r="AL63" s="136">
        <f t="shared" si="453"/>
        <v>0</v>
      </c>
      <c r="AM63" s="191">
        <f t="shared" si="454"/>
        <v>0</v>
      </c>
      <c r="AN63" s="191">
        <f t="shared" si="455"/>
        <v>0</v>
      </c>
      <c r="AO63" s="191">
        <f t="shared" si="456"/>
        <v>0</v>
      </c>
      <c r="AP63" s="191">
        <f t="shared" si="457"/>
        <v>0</v>
      </c>
      <c r="AQ63" s="191">
        <f t="shared" si="458"/>
        <v>0</v>
      </c>
      <c r="AR63" s="191">
        <f t="shared" si="459"/>
        <v>0</v>
      </c>
      <c r="AS63" s="259">
        <f t="shared" si="428"/>
        <v>0</v>
      </c>
      <c r="AT63" s="191">
        <f t="shared" si="460"/>
        <v>0</v>
      </c>
      <c r="AU63" s="191">
        <f t="shared" si="461"/>
        <v>0</v>
      </c>
      <c r="AV63" s="191">
        <f t="shared" si="462"/>
        <v>0</v>
      </c>
      <c r="AW63" s="191">
        <f t="shared" si="463"/>
        <v>0</v>
      </c>
      <c r="AX63" s="191">
        <f t="shared" si="464"/>
        <v>0</v>
      </c>
      <c r="AY63" s="191">
        <f t="shared" si="465"/>
        <v>0</v>
      </c>
      <c r="AZ63" s="191">
        <f t="shared" si="466"/>
        <v>0</v>
      </c>
      <c r="BA63" s="191">
        <f t="shared" si="467"/>
        <v>0</v>
      </c>
      <c r="BB63" s="191">
        <f t="shared" si="468"/>
        <v>0</v>
      </c>
      <c r="BC63" s="263">
        <f t="shared" si="438"/>
        <v>0</v>
      </c>
      <c r="BD63" s="259">
        <f t="shared" si="439"/>
        <v>0</v>
      </c>
      <c r="BI63" s="191">
        <f t="shared" si="335"/>
        <v>0</v>
      </c>
      <c r="BJ63" s="191">
        <f t="shared" si="336"/>
        <v>0</v>
      </c>
      <c r="BK63" s="191">
        <f t="shared" si="337"/>
        <v>0</v>
      </c>
      <c r="BL63" s="191">
        <f t="shared" si="338"/>
        <v>0</v>
      </c>
      <c r="BM63" s="191">
        <f t="shared" si="339"/>
        <v>0</v>
      </c>
      <c r="BN63" s="191">
        <f t="shared" si="340"/>
        <v>0</v>
      </c>
      <c r="BO63" s="259">
        <f t="shared" si="416"/>
        <v>0</v>
      </c>
      <c r="BP63" s="191">
        <f t="shared" si="341"/>
        <v>0</v>
      </c>
      <c r="BQ63" s="191">
        <f t="shared" si="342"/>
        <v>0</v>
      </c>
      <c r="BR63" s="259">
        <f t="shared" si="440"/>
        <v>0</v>
      </c>
      <c r="BS63" s="191">
        <f t="shared" si="343"/>
        <v>0</v>
      </c>
      <c r="BT63" s="191">
        <f t="shared" si="344"/>
        <v>0</v>
      </c>
      <c r="BU63" s="191">
        <f t="shared" si="345"/>
        <v>0</v>
      </c>
      <c r="BV63" s="259">
        <f t="shared" si="346"/>
        <v>0</v>
      </c>
      <c r="BW63" s="191">
        <f t="shared" si="347"/>
        <v>0</v>
      </c>
      <c r="BX63" s="191">
        <f t="shared" si="348"/>
        <v>0</v>
      </c>
      <c r="BY63" s="191">
        <f t="shared" si="349"/>
        <v>0</v>
      </c>
      <c r="BZ63" s="191">
        <f t="shared" si="350"/>
        <v>0</v>
      </c>
      <c r="CA63" s="191">
        <f t="shared" si="351"/>
        <v>0</v>
      </c>
      <c r="CB63" s="191">
        <f t="shared" si="352"/>
        <v>0</v>
      </c>
      <c r="CC63" s="191">
        <f t="shared" si="353"/>
        <v>0</v>
      </c>
      <c r="CD63" s="191">
        <f t="shared" si="354"/>
        <v>0</v>
      </c>
      <c r="CE63" s="191">
        <f t="shared" si="469"/>
        <v>0</v>
      </c>
      <c r="CF63" s="191">
        <f t="shared" si="355"/>
        <v>0</v>
      </c>
      <c r="CG63" s="191">
        <f t="shared" si="356"/>
        <v>0</v>
      </c>
      <c r="CH63" s="191">
        <f t="shared" si="357"/>
        <v>0</v>
      </c>
      <c r="CI63" s="191">
        <f t="shared" si="358"/>
        <v>0</v>
      </c>
      <c r="CJ63" s="191">
        <f t="shared" si="359"/>
        <v>0</v>
      </c>
      <c r="CK63" s="191">
        <f t="shared" si="360"/>
        <v>0</v>
      </c>
      <c r="CL63" s="191">
        <f t="shared" si="361"/>
        <v>0</v>
      </c>
      <c r="CM63" s="191">
        <f t="shared" si="362"/>
        <v>0</v>
      </c>
      <c r="CN63" s="191">
        <f t="shared" si="363"/>
        <v>0</v>
      </c>
      <c r="CO63" s="191">
        <f t="shared" si="364"/>
        <v>0</v>
      </c>
      <c r="CP63" s="191">
        <f t="shared" si="470"/>
        <v>0</v>
      </c>
      <c r="CQ63" s="191">
        <f t="shared" si="365"/>
        <v>0</v>
      </c>
      <c r="CW63" s="191">
        <f t="shared" si="366"/>
        <v>0</v>
      </c>
      <c r="CX63" s="191">
        <f t="shared" si="367"/>
        <v>0</v>
      </c>
      <c r="CY63" s="191">
        <f t="shared" si="368"/>
        <v>0</v>
      </c>
      <c r="CZ63" s="191">
        <f t="shared" si="369"/>
        <v>0</v>
      </c>
      <c r="DA63" s="191">
        <f t="shared" si="471"/>
        <v>0</v>
      </c>
      <c r="DB63" s="191">
        <f t="shared" si="370"/>
        <v>0</v>
      </c>
      <c r="DC63" s="191">
        <f t="shared" si="371"/>
        <v>0</v>
      </c>
      <c r="DD63" s="191">
        <f t="shared" si="372"/>
        <v>0</v>
      </c>
      <c r="DE63" s="191">
        <f t="shared" si="472"/>
        <v>0</v>
      </c>
      <c r="DF63" s="191">
        <f t="shared" si="373"/>
        <v>0</v>
      </c>
      <c r="DG63" s="191">
        <f t="shared" si="374"/>
        <v>0</v>
      </c>
      <c r="DH63" s="191">
        <f t="shared" si="375"/>
        <v>0</v>
      </c>
      <c r="DI63" s="191">
        <f t="shared" si="376"/>
        <v>0</v>
      </c>
      <c r="DJ63" s="191">
        <f t="shared" si="377"/>
        <v>0</v>
      </c>
      <c r="DK63" s="191">
        <f t="shared" si="378"/>
        <v>0</v>
      </c>
      <c r="DL63" s="191">
        <f t="shared" si="379"/>
        <v>0</v>
      </c>
      <c r="DM63" s="191">
        <f t="shared" si="380"/>
        <v>0</v>
      </c>
      <c r="DN63" s="191">
        <f t="shared" si="381"/>
        <v>0</v>
      </c>
      <c r="DO63" s="191">
        <f t="shared" si="382"/>
        <v>0</v>
      </c>
      <c r="DP63" s="191">
        <f t="shared" si="383"/>
        <v>0</v>
      </c>
      <c r="DQ63" s="259">
        <f>COUNTIFS($B:$B,"ELKINS PARK",$C:$C,"USCRI",$M:$M,AG63)</f>
        <v>0</v>
      </c>
      <c r="DR63" s="191">
        <f t="shared" si="384"/>
        <v>0</v>
      </c>
      <c r="DS63" s="191">
        <f t="shared" si="385"/>
        <v>0</v>
      </c>
      <c r="DT63" s="191">
        <f t="shared" si="386"/>
        <v>0</v>
      </c>
      <c r="DU63" s="191">
        <f t="shared" si="387"/>
        <v>0</v>
      </c>
      <c r="DV63" s="191">
        <f t="shared" si="388"/>
        <v>0</v>
      </c>
      <c r="DW63" s="191">
        <f t="shared" si="389"/>
        <v>0</v>
      </c>
      <c r="DX63" s="191">
        <f t="shared" si="390"/>
        <v>0</v>
      </c>
      <c r="DY63" s="191">
        <f t="shared" si="391"/>
        <v>0</v>
      </c>
      <c r="DZ63" s="191">
        <f t="shared" si="392"/>
        <v>0</v>
      </c>
      <c r="EA63" s="191">
        <f t="shared" si="393"/>
        <v>0</v>
      </c>
      <c r="EB63" s="191">
        <f t="shared" si="394"/>
        <v>0</v>
      </c>
      <c r="EC63" s="263">
        <f t="shared" si="445"/>
        <v>0</v>
      </c>
      <c r="ED63" s="191">
        <f t="shared" si="395"/>
        <v>0</v>
      </c>
      <c r="EE63" s="191">
        <f t="shared" si="396"/>
        <v>0</v>
      </c>
      <c r="EF63" s="191">
        <f t="shared" si="397"/>
        <v>0</v>
      </c>
      <c r="EG63" s="191">
        <f t="shared" si="398"/>
        <v>0</v>
      </c>
      <c r="EH63" s="191">
        <f t="shared" si="399"/>
        <v>0</v>
      </c>
      <c r="EI63" s="191">
        <f t="shared" si="400"/>
        <v>0</v>
      </c>
      <c r="EJ63" s="259">
        <f t="shared" si="114"/>
        <v>0</v>
      </c>
      <c r="EK63" s="191">
        <f t="shared" si="401"/>
        <v>0</v>
      </c>
      <c r="EL63" s="191">
        <f t="shared" si="402"/>
        <v>0</v>
      </c>
      <c r="EM63" s="259">
        <f t="shared" si="446"/>
        <v>0</v>
      </c>
      <c r="EN63" s="259">
        <f t="shared" si="403"/>
        <v>0</v>
      </c>
      <c r="EO63" s="259">
        <f t="shared" si="447"/>
        <v>0</v>
      </c>
      <c r="EQ63" s="191">
        <f t="shared" si="404"/>
        <v>0</v>
      </c>
      <c r="ER63" s="191">
        <f t="shared" si="405"/>
        <v>0</v>
      </c>
      <c r="ES63" s="191">
        <f t="shared" si="406"/>
        <v>0</v>
      </c>
      <c r="ET63" s="191">
        <f t="shared" si="407"/>
        <v>0</v>
      </c>
      <c r="EU63" s="191">
        <f t="shared" si="408"/>
        <v>0</v>
      </c>
      <c r="EV63" s="191">
        <f t="shared" si="409"/>
        <v>0</v>
      </c>
      <c r="EW63" s="191">
        <f t="shared" si="410"/>
        <v>0</v>
      </c>
      <c r="EX63" s="191">
        <f t="shared" si="411"/>
        <v>0</v>
      </c>
      <c r="EY63" s="191">
        <f t="shared" si="473"/>
        <v>0</v>
      </c>
      <c r="EZ63" s="191">
        <f t="shared" si="412"/>
        <v>0</v>
      </c>
      <c r="FF63" s="191">
        <f t="shared" si="413"/>
        <v>0</v>
      </c>
      <c r="FG63" s="191">
        <f t="shared" si="414"/>
        <v>0</v>
      </c>
      <c r="FH63" s="191">
        <f t="shared" si="415"/>
        <v>0</v>
      </c>
      <c r="FI63" s="191">
        <f t="shared" si="474"/>
        <v>0</v>
      </c>
      <c r="FL63" s="159" t="s">
        <v>242</v>
      </c>
      <c r="FM63" s="160" t="s">
        <v>243</v>
      </c>
    </row>
    <row r="64" spans="1:169" ht="15.75" thickBot="1" x14ac:dyDescent="0.3">
      <c r="A64" s="304">
        <v>62</v>
      </c>
      <c r="B64" s="299" t="s">
        <v>8</v>
      </c>
      <c r="C64" s="300" t="s">
        <v>249</v>
      </c>
      <c r="D64" s="299"/>
      <c r="E64" s="301"/>
      <c r="F64" s="301"/>
      <c r="G64" s="301"/>
      <c r="H64" s="299"/>
      <c r="I64" s="299"/>
      <c r="J64" s="299"/>
      <c r="K64" s="301"/>
      <c r="L64" s="302"/>
      <c r="M64" s="301" t="s">
        <v>150</v>
      </c>
      <c r="N64" s="303"/>
      <c r="O64" s="302">
        <v>43005</v>
      </c>
      <c r="P64" s="259"/>
      <c r="X64" s="84" t="s">
        <v>115</v>
      </c>
      <c r="Y64" s="97">
        <f>COUNTIFS($B:$B,"GREENCASTLE",$C:$C,"USCCB")</f>
        <v>0</v>
      </c>
      <c r="Z64" s="133">
        <f>SUM(Z7:Z63)</f>
        <v>38</v>
      </c>
      <c r="AA64" s="133">
        <f>SUM(AA7:AA63)</f>
        <v>79</v>
      </c>
      <c r="AB64" s="133">
        <f>SUM(AB7:AB63)</f>
        <v>27</v>
      </c>
      <c r="AC64" s="133">
        <f>SUM(AC7:AC63)</f>
        <v>16</v>
      </c>
      <c r="AD64" s="133">
        <f>SUM(AD7:AD63)</f>
        <v>18</v>
      </c>
      <c r="AF64" s="159" t="s">
        <v>244</v>
      </c>
      <c r="AG64" s="160" t="s">
        <v>245</v>
      </c>
      <c r="AH64" s="114">
        <f t="shared" si="417"/>
        <v>0</v>
      </c>
      <c r="AI64" s="191">
        <f t="shared" si="450"/>
        <v>0</v>
      </c>
      <c r="AJ64" s="191">
        <f t="shared" si="451"/>
        <v>0</v>
      </c>
      <c r="AK64" s="191">
        <f t="shared" si="452"/>
        <v>0</v>
      </c>
      <c r="AL64" s="136">
        <f t="shared" si="453"/>
        <v>0</v>
      </c>
      <c r="AM64" s="191">
        <f t="shared" si="454"/>
        <v>0</v>
      </c>
      <c r="AN64" s="191">
        <f t="shared" si="455"/>
        <v>0</v>
      </c>
      <c r="AO64" s="191">
        <f t="shared" si="456"/>
        <v>0</v>
      </c>
      <c r="AP64" s="191">
        <f t="shared" si="457"/>
        <v>0</v>
      </c>
      <c r="AQ64" s="191">
        <f t="shared" si="458"/>
        <v>0</v>
      </c>
      <c r="AR64" s="191">
        <f t="shared" si="459"/>
        <v>0</v>
      </c>
      <c r="AS64" s="259">
        <f t="shared" si="428"/>
        <v>0</v>
      </c>
      <c r="AT64" s="191">
        <f t="shared" si="460"/>
        <v>0</v>
      </c>
      <c r="AU64" s="191">
        <f t="shared" si="461"/>
        <v>0</v>
      </c>
      <c r="AV64" s="191">
        <f t="shared" si="462"/>
        <v>0</v>
      </c>
      <c r="AW64" s="191">
        <f t="shared" si="463"/>
        <v>0</v>
      </c>
      <c r="AX64" s="191">
        <f t="shared" si="464"/>
        <v>0</v>
      </c>
      <c r="AY64" s="191">
        <f t="shared" si="465"/>
        <v>0</v>
      </c>
      <c r="AZ64" s="191">
        <f t="shared" si="466"/>
        <v>0</v>
      </c>
      <c r="BA64" s="191">
        <f t="shared" si="467"/>
        <v>0</v>
      </c>
      <c r="BB64" s="191">
        <f t="shared" si="468"/>
        <v>0</v>
      </c>
      <c r="BC64" s="263">
        <f t="shared" si="438"/>
        <v>0</v>
      </c>
      <c r="BD64" s="259">
        <f t="shared" si="439"/>
        <v>0</v>
      </c>
      <c r="BI64" s="191">
        <f t="shared" si="335"/>
        <v>0</v>
      </c>
      <c r="BJ64" s="191">
        <f t="shared" si="336"/>
        <v>0</v>
      </c>
      <c r="BK64" s="191">
        <f t="shared" si="337"/>
        <v>0</v>
      </c>
      <c r="BL64" s="191">
        <f t="shared" si="338"/>
        <v>0</v>
      </c>
      <c r="BM64" s="191">
        <f t="shared" si="339"/>
        <v>0</v>
      </c>
      <c r="BN64" s="191">
        <f t="shared" si="340"/>
        <v>0</v>
      </c>
      <c r="BO64" s="259">
        <f t="shared" si="416"/>
        <v>0</v>
      </c>
      <c r="BP64" s="191">
        <f t="shared" si="341"/>
        <v>0</v>
      </c>
      <c r="BQ64" s="191">
        <f t="shared" si="342"/>
        <v>0</v>
      </c>
      <c r="BR64" s="259">
        <f t="shared" si="440"/>
        <v>0</v>
      </c>
      <c r="BS64" s="191">
        <f t="shared" si="343"/>
        <v>0</v>
      </c>
      <c r="BT64" s="191">
        <f t="shared" si="344"/>
        <v>0</v>
      </c>
      <c r="BU64" s="191">
        <f t="shared" si="345"/>
        <v>0</v>
      </c>
      <c r="BV64" s="259">
        <f t="shared" si="346"/>
        <v>0</v>
      </c>
      <c r="BW64" s="191">
        <f t="shared" si="347"/>
        <v>0</v>
      </c>
      <c r="BX64" s="191">
        <f t="shared" si="348"/>
        <v>0</v>
      </c>
      <c r="BY64" s="191">
        <f t="shared" si="349"/>
        <v>0</v>
      </c>
      <c r="BZ64" s="191">
        <f t="shared" si="350"/>
        <v>0</v>
      </c>
      <c r="CA64" s="191">
        <f t="shared" si="351"/>
        <v>0</v>
      </c>
      <c r="CB64" s="191">
        <f t="shared" si="352"/>
        <v>0</v>
      </c>
      <c r="CC64" s="191">
        <f t="shared" si="353"/>
        <v>0</v>
      </c>
      <c r="CD64" s="191">
        <f t="shared" si="354"/>
        <v>0</v>
      </c>
      <c r="CE64" s="191">
        <f t="shared" si="469"/>
        <v>0</v>
      </c>
      <c r="CF64" s="191">
        <f t="shared" si="355"/>
        <v>0</v>
      </c>
      <c r="CG64" s="191">
        <f t="shared" si="356"/>
        <v>0</v>
      </c>
      <c r="CH64" s="191">
        <f t="shared" si="357"/>
        <v>0</v>
      </c>
      <c r="CI64" s="191">
        <f t="shared" si="358"/>
        <v>0</v>
      </c>
      <c r="CJ64" s="191">
        <f t="shared" si="359"/>
        <v>0</v>
      </c>
      <c r="CK64" s="191">
        <f t="shared" si="360"/>
        <v>0</v>
      </c>
      <c r="CL64" s="191">
        <f t="shared" si="361"/>
        <v>0</v>
      </c>
      <c r="CM64" s="191">
        <f t="shared" si="362"/>
        <v>0</v>
      </c>
      <c r="CN64" s="191">
        <f t="shared" si="363"/>
        <v>0</v>
      </c>
      <c r="CO64" s="191">
        <f t="shared" si="364"/>
        <v>0</v>
      </c>
      <c r="CP64" s="191">
        <f t="shared" si="470"/>
        <v>0</v>
      </c>
      <c r="CQ64" s="191">
        <f t="shared" si="365"/>
        <v>0</v>
      </c>
      <c r="CW64" s="191">
        <f t="shared" si="366"/>
        <v>0</v>
      </c>
      <c r="CX64" s="191">
        <f t="shared" si="367"/>
        <v>0</v>
      </c>
      <c r="CY64" s="191">
        <f t="shared" si="368"/>
        <v>0</v>
      </c>
      <c r="CZ64" s="191">
        <f t="shared" si="369"/>
        <v>0</v>
      </c>
      <c r="DA64" s="191">
        <f t="shared" si="471"/>
        <v>0</v>
      </c>
      <c r="DB64" s="191">
        <f t="shared" si="370"/>
        <v>0</v>
      </c>
      <c r="DC64" s="191">
        <f t="shared" si="371"/>
        <v>0</v>
      </c>
      <c r="DD64" s="191">
        <f t="shared" si="372"/>
        <v>0</v>
      </c>
      <c r="DE64" s="191">
        <f t="shared" si="472"/>
        <v>0</v>
      </c>
      <c r="DF64" s="191">
        <f t="shared" si="373"/>
        <v>0</v>
      </c>
      <c r="DG64" s="191">
        <f t="shared" si="374"/>
        <v>0</v>
      </c>
      <c r="DH64" s="191">
        <f t="shared" si="375"/>
        <v>0</v>
      </c>
      <c r="DI64" s="191">
        <f t="shared" si="376"/>
        <v>0</v>
      </c>
      <c r="DJ64" s="191">
        <f t="shared" si="377"/>
        <v>0</v>
      </c>
      <c r="DK64" s="191">
        <f t="shared" si="378"/>
        <v>0</v>
      </c>
      <c r="DL64" s="191">
        <f t="shared" si="379"/>
        <v>0</v>
      </c>
      <c r="DM64" s="191">
        <f t="shared" si="380"/>
        <v>0</v>
      </c>
      <c r="DN64" s="191">
        <f t="shared" si="381"/>
        <v>0</v>
      </c>
      <c r="DO64" s="191">
        <f t="shared" si="382"/>
        <v>0</v>
      </c>
      <c r="DP64" s="191">
        <f t="shared" si="383"/>
        <v>0</v>
      </c>
      <c r="DQ64" s="259">
        <f>COUNTIFS($B:$B,"ELKINS PARK",$C:$C,"USCRI",$M:$M,AG64)</f>
        <v>0</v>
      </c>
      <c r="DR64" s="191">
        <f t="shared" si="384"/>
        <v>0</v>
      </c>
      <c r="DS64" s="191">
        <f t="shared" si="385"/>
        <v>0</v>
      </c>
      <c r="DT64" s="191">
        <f t="shared" si="386"/>
        <v>0</v>
      </c>
      <c r="DU64" s="191">
        <f t="shared" si="387"/>
        <v>0</v>
      </c>
      <c r="DV64" s="191">
        <f t="shared" si="388"/>
        <v>0</v>
      </c>
      <c r="DW64" s="191">
        <f t="shared" si="389"/>
        <v>0</v>
      </c>
      <c r="DX64" s="191">
        <f t="shared" si="390"/>
        <v>0</v>
      </c>
      <c r="DY64" s="191">
        <f t="shared" si="391"/>
        <v>0</v>
      </c>
      <c r="DZ64" s="191">
        <f t="shared" si="392"/>
        <v>0</v>
      </c>
      <c r="EA64" s="191">
        <f t="shared" si="393"/>
        <v>0</v>
      </c>
      <c r="EB64" s="191">
        <f t="shared" si="394"/>
        <v>0</v>
      </c>
      <c r="EC64" s="263">
        <f t="shared" si="445"/>
        <v>0</v>
      </c>
      <c r="ED64" s="191">
        <f t="shared" si="395"/>
        <v>0</v>
      </c>
      <c r="EE64" s="191">
        <f t="shared" si="396"/>
        <v>0</v>
      </c>
      <c r="EF64" s="191">
        <f t="shared" si="397"/>
        <v>0</v>
      </c>
      <c r="EG64" s="191">
        <f t="shared" si="398"/>
        <v>0</v>
      </c>
      <c r="EH64" s="191">
        <f t="shared" si="399"/>
        <v>0</v>
      </c>
      <c r="EI64" s="191">
        <f t="shared" si="400"/>
        <v>0</v>
      </c>
      <c r="EJ64" s="259">
        <f t="shared" si="114"/>
        <v>0</v>
      </c>
      <c r="EK64" s="191">
        <f t="shared" si="401"/>
        <v>0</v>
      </c>
      <c r="EL64" s="191">
        <f t="shared" si="402"/>
        <v>0</v>
      </c>
      <c r="EM64" s="259">
        <f t="shared" si="446"/>
        <v>0</v>
      </c>
      <c r="EN64" s="259">
        <f t="shared" si="403"/>
        <v>0</v>
      </c>
      <c r="EO64" s="259">
        <f t="shared" si="447"/>
        <v>0</v>
      </c>
      <c r="EQ64" s="191">
        <f t="shared" si="404"/>
        <v>0</v>
      </c>
      <c r="ER64" s="191">
        <f t="shared" si="405"/>
        <v>0</v>
      </c>
      <c r="ES64" s="191">
        <f t="shared" si="406"/>
        <v>0</v>
      </c>
      <c r="ET64" s="191">
        <f t="shared" si="407"/>
        <v>0</v>
      </c>
      <c r="EU64" s="191">
        <f t="shared" si="408"/>
        <v>0</v>
      </c>
      <c r="EV64" s="191">
        <f t="shared" si="409"/>
        <v>0</v>
      </c>
      <c r="EW64" s="191">
        <f t="shared" si="410"/>
        <v>0</v>
      </c>
      <c r="EX64" s="191">
        <f t="shared" si="411"/>
        <v>0</v>
      </c>
      <c r="EY64" s="191">
        <f t="shared" si="473"/>
        <v>0</v>
      </c>
      <c r="EZ64" s="191">
        <f t="shared" si="412"/>
        <v>0</v>
      </c>
      <c r="FF64" s="191">
        <f t="shared" si="413"/>
        <v>0</v>
      </c>
      <c r="FG64" s="191">
        <f t="shared" si="414"/>
        <v>0</v>
      </c>
      <c r="FH64" s="191">
        <f t="shared" si="415"/>
        <v>0</v>
      </c>
      <c r="FI64" s="191">
        <f t="shared" si="474"/>
        <v>0</v>
      </c>
      <c r="FL64" s="159" t="s">
        <v>244</v>
      </c>
      <c r="FM64" s="160" t="s">
        <v>245</v>
      </c>
    </row>
    <row r="65" spans="1:169" ht="15.75" thickBot="1" x14ac:dyDescent="0.3">
      <c r="A65" s="304">
        <v>63</v>
      </c>
      <c r="B65" s="299" t="s">
        <v>8</v>
      </c>
      <c r="C65" s="300" t="s">
        <v>249</v>
      </c>
      <c r="D65" s="299"/>
      <c r="E65" s="301"/>
      <c r="F65" s="301"/>
      <c r="G65" s="301"/>
      <c r="H65" s="299"/>
      <c r="I65" s="299"/>
      <c r="J65" s="299"/>
      <c r="K65" s="301"/>
      <c r="L65" s="302"/>
      <c r="M65" s="301" t="s">
        <v>150</v>
      </c>
      <c r="N65" s="303"/>
      <c r="O65" s="302">
        <v>43005</v>
      </c>
      <c r="P65" s="259"/>
      <c r="X65" s="84" t="s">
        <v>774</v>
      </c>
      <c r="Y65" s="97">
        <f>COUNTIFS($B:$B,"HAMPDEN TOWNSHIP",$C:$C,"USCCB")</f>
        <v>0</v>
      </c>
      <c r="Z65" s="97"/>
      <c r="AA65" s="97"/>
      <c r="AB65" s="97"/>
      <c r="AC65" s="97"/>
      <c r="AD65" s="97"/>
      <c r="AF65" s="308" t="s">
        <v>246</v>
      </c>
      <c r="AG65" s="309" t="s">
        <v>247</v>
      </c>
      <c r="AH65" s="114">
        <f t="shared" si="417"/>
        <v>0</v>
      </c>
      <c r="AI65" s="191">
        <f>COUNTIFS($B:$B,"Pittsburgh",$C:$C,"ECDC",$M:$M,AG65)</f>
        <v>0</v>
      </c>
      <c r="AJ65" s="191">
        <f>COUNTIFS($B:$B,"LEETSDALE",$C:$C,"ECDC",$M:$M,AG65)</f>
        <v>0</v>
      </c>
      <c r="AK65" s="191">
        <f>COUNTIFS($B:$B,"SEWICKLEY",$C:$C,"ECDC",$M:$M,AG65)</f>
        <v>0</v>
      </c>
      <c r="AL65" s="136">
        <f>SUM(AI65:AK65)</f>
        <v>0</v>
      </c>
      <c r="AM65" s="191">
        <f>COUNTIFS($B:$B,"Pittsburgh",$C:$C,"HIAS",$M:$M,AG65)</f>
        <v>0</v>
      </c>
      <c r="AN65" s="191">
        <f>COUNTIFS($B:$B,"CASTLE SHANNON",$C:$C,"HIAS",$M:$M,AG65)</f>
        <v>0</v>
      </c>
      <c r="AO65" s="191">
        <f>SUM(AM65:AN65)</f>
        <v>0</v>
      </c>
      <c r="AP65" s="191">
        <f>COUNTIFS($B:$B,"CANONSBURG",$C:$C,"USCCB",$M:$M,AG65)</f>
        <v>0</v>
      </c>
      <c r="AQ65" s="191">
        <f>COUNTIFS($B:$B,"HANOVER TOWNSHIP",$C:$C,"USCCB",$M:$M,AG65)</f>
        <v>0</v>
      </c>
      <c r="AR65" s="191">
        <f>COUNTIFS($B:$B,"INDIANA",$C:$C,"USCCB",$M:$M,AG65)</f>
        <v>0</v>
      </c>
      <c r="AS65" s="259">
        <f t="shared" si="428"/>
        <v>0</v>
      </c>
      <c r="AT65" s="191">
        <f>COUNTIFS($B:$B,"Pittsburgh",$C:$C,"USCCB",$M:$M,AG65)</f>
        <v>0</v>
      </c>
      <c r="AU65" s="191">
        <f>COUNTIFS($B:$B,"SHARPSBURG",$C:$C,"USCCB",$M:$M,AG65)</f>
        <v>0</v>
      </c>
      <c r="AV65" s="191">
        <f>SUM(AP65:AU65)</f>
        <v>0</v>
      </c>
      <c r="AW65" s="191">
        <f>COUNTIFS($B:$B,"BELLEVUE",$C:$C,"USCRI",$M:$M,AG65)</f>
        <v>0</v>
      </c>
      <c r="AX65" s="191">
        <f>COUNTIFS($B:$B,"BRENTWOOD",$C:$C,"USCRI",$M:$M,AG65)</f>
        <v>0</v>
      </c>
      <c r="AY65" s="191">
        <f>COUNTIFS($B:$B,"CLAIRTON",$C:$C,"USCRI",$M:$M,AG65)</f>
        <v>0</v>
      </c>
      <c r="AZ65" s="191">
        <f>COUNTIFS($B:$B,"EAST MILLSBORO",$C:$C,"USCRI",$M:$M,AG65)</f>
        <v>0</v>
      </c>
      <c r="BA65" s="191">
        <f>COUNTIFS($B:$B,"ETNA",$C:$C,"USCRI",$M:$M,AG65)</f>
        <v>0</v>
      </c>
      <c r="BB65" s="191">
        <f>COUNTIFS($B:$B,"Pittsburgh",$C:$C,"USCRI",$M:$M,AG65)</f>
        <v>0</v>
      </c>
      <c r="BC65" s="263">
        <f t="shared" si="438"/>
        <v>0</v>
      </c>
      <c r="BD65" s="259">
        <f t="shared" si="439"/>
        <v>0</v>
      </c>
      <c r="BI65" s="191">
        <f>COUNTIFS($B:$B,"BOALSBURG",$C:$C,"USCCB",$M:$M,AG65)</f>
        <v>0</v>
      </c>
      <c r="BJ65" s="191">
        <f>COUNTIFS($B:$B,"CAMP HILL",$C:$C,"USCCB",$M:$M,AG65)</f>
        <v>0</v>
      </c>
      <c r="BK65" s="191">
        <f>COUNTIFS($B:$B,"CARLISLE",$C:$C,"USCCB",$M:$M,AG65)</f>
        <v>0</v>
      </c>
      <c r="BL65" s="191">
        <f>COUNTIFS($B:$B,"CHAMBERSBURG",$C:$C,"USCCB",$M:$M,AG65)</f>
        <v>0</v>
      </c>
      <c r="BM65" s="191">
        <f>COUNTIFS($B:$B,"ELIZABETHTOWN",$C:$C,"USCCB",$M:$M,AG65)</f>
        <v>0</v>
      </c>
      <c r="BN65" s="191">
        <f>COUNTIFS($B:$B,"ENOLA",$C:$C,"USCCB",$M:$M,AG65)</f>
        <v>0</v>
      </c>
      <c r="BO65" s="259">
        <f t="shared" si="416"/>
        <v>0</v>
      </c>
      <c r="BP65" s="191">
        <f>COUNTIFS($B:$B,"GETTYSBURG",$C:$C,"USCCB",$M:$M,AG65)</f>
        <v>0</v>
      </c>
      <c r="BQ65" s="191">
        <f>COUNTIFS($B:$B,"GREENCASTLE",$C:$C,"USCCB",$M:$M,AG65)</f>
        <v>0</v>
      </c>
      <c r="BR65" s="259">
        <f t="shared" si="440"/>
        <v>0</v>
      </c>
      <c r="BS65" s="191">
        <f>COUNTIFS($B:$B,"HARRISBURG",$C:$C,"USCCB",$M:$M,AG65)</f>
        <v>0</v>
      </c>
      <c r="BT65" s="191">
        <f>COUNTIFS($B:$B,"HUMMELSTOWN",$C:$C,"USCCB",$M:$M,AG65)</f>
        <v>0</v>
      </c>
      <c r="BU65" s="191">
        <f>COUNTIFS($B:$B,"LEBANON",$C:$C,"USCCB",$M:$M,AG65)</f>
        <v>0</v>
      </c>
      <c r="BV65" s="259">
        <f>COUNTIFS($B:$B,"MCSHERRYSTOWN",$C:$C,"USCCB",$M:$M,AG65)</f>
        <v>0</v>
      </c>
      <c r="BW65" s="191">
        <f>COUNTIFS($B:$B,"MECHANICSBURG",$C:$C,"USCCB",$M:$M,AG65)</f>
        <v>0</v>
      </c>
      <c r="BX65" s="191">
        <f>COUNTIFS($B:$B,"MIDDLETOWN",$C:$C,"USCCB",$M:$M,AG65)</f>
        <v>0</v>
      </c>
      <c r="BY65" s="191">
        <f>COUNTIFS($B:$B,"NEW CUMBERLAND",$C:$C,"USCCB",$M:$M,AG65)</f>
        <v>0</v>
      </c>
      <c r="BZ65" s="191">
        <f>COUNTIFS($B:$B,"PALMYRA",$C:$C,"USCCB",$M:$M,AG65)</f>
        <v>0</v>
      </c>
      <c r="CA65" s="191">
        <f>COUNTIFS($B:$B,"SHIREMANSTOWN",$C:$C,"USCCB",$M:$M,AG65)</f>
        <v>0</v>
      </c>
      <c r="CB65" s="191">
        <f>COUNTIFS($B:$B,"STATE COLLEGE",$C:$C,"USCCB",$M:$M,AG65)</f>
        <v>0</v>
      </c>
      <c r="CC65" s="191">
        <f>COUNTIFS($B:$B,"WINFIELD",$C:$C,"USCCB",$M:$M,AG65)</f>
        <v>0</v>
      </c>
      <c r="CD65" s="191">
        <f>COUNTIFS($B:$B,"YORK",$C:$C,"USCCB",$M:$M,AG65)</f>
        <v>0</v>
      </c>
      <c r="CE65" s="191">
        <f>SUM(BI65:CD65)</f>
        <v>0</v>
      </c>
      <c r="CF65" s="191">
        <f>COUNTIFS($B:$B,"ELIZABETHTOWN",$C:$C,"CWS ",$M:$M,AG65)</f>
        <v>0</v>
      </c>
      <c r="CG65" s="191">
        <f>COUNTIFS($B:$B,"GETTYSBURG",$C:$C,"CWS ",$M:$M,AG65)</f>
        <v>0</v>
      </c>
      <c r="CH65" s="191">
        <f>COUNTIFS($B:$B,"HARRISBURG",$C:$C,"CWS ",$M:$M,AG65)</f>
        <v>0</v>
      </c>
      <c r="CI65" s="191">
        <f>COUNTIFS($B:$B,"LANCASTER",$C:$C,"CWS ",$M:$M,AG65)</f>
        <v>0</v>
      </c>
      <c r="CJ65" s="191">
        <f>COUNTIFS($B:$B,"LEOLA",$C:$C,"CWS ",$M:$M,AG65)</f>
        <v>0</v>
      </c>
      <c r="CK65" s="191">
        <f>COUNTIFS($B:$B,"LITITZ",$C:$C,"CWS ",$M:$M,AG65)</f>
        <v>0</v>
      </c>
      <c r="CL65" s="191">
        <f>COUNTIFS($B:$B,"MECHANICSBURG",$C:$C,"CWS ",$M:$M,AG65)</f>
        <v>0</v>
      </c>
      <c r="CM65" s="191">
        <f>COUNTIFS($B:$B,"MOUNT JOY",$C:$C,"CWS ",$M:$M,AG65)</f>
        <v>0</v>
      </c>
      <c r="CN65" s="191">
        <f>COUNTIFS($B:$B,"YORK",$C:$C,"CWS ",$M:$M,AG65)</f>
        <v>0</v>
      </c>
      <c r="CO65" s="191">
        <f>COUNTIFS($B:$B,"EPHRATA",$C:$C,"CWS ",$M:$M,AG65)</f>
        <v>0</v>
      </c>
      <c r="CP65" s="191">
        <f>SUM(CF65,CG65,CH65,CJ65,CK65,CL65,CM65,CN65,CO65)</f>
        <v>0</v>
      </c>
      <c r="CQ65" s="191">
        <f>COUNTIFS($B:$B,"LANCASTER",$C:$C,"LIRS",$M:$M,AG65)</f>
        <v>0</v>
      </c>
      <c r="CW65" s="191">
        <f>COUNTIFS($B:$B,"PHILADELPHIA",$C:$C,"HIAS",$M:$M,AG65)</f>
        <v>0</v>
      </c>
      <c r="CX65" s="191">
        <f>COUNTIFS($B:$B,"BIRDSBORO",$C:$C,"CWS ",$M:$M,AG65)</f>
        <v>0</v>
      </c>
      <c r="CY65" s="191">
        <f>COUNTIFS($B:$B,"CONSHOHOCKEN",$C:$C,"CWS ",$M:$M,AG65)</f>
        <v>0</v>
      </c>
      <c r="CZ65" s="191">
        <f>COUNTIFS($B:$B,"PHILADELPHIA",$C:$C,"CWS ",$M:$M,AG65)</f>
        <v>0</v>
      </c>
      <c r="DA65" s="191">
        <f>SUM(CX65:CZ65)</f>
        <v>0</v>
      </c>
      <c r="DB65" s="191">
        <f>COUNTIFS($B:$B,"PHILADELPHIA",$C:$C,"LIRS",$M:$M,AG65)</f>
        <v>0</v>
      </c>
      <c r="DC65" s="191">
        <f>COUNTIFS($B:$B,"ROSLYN",$C:$C,"LIRS",$M:$M,AG65)</f>
        <v>0</v>
      </c>
      <c r="DD65" s="191">
        <f>COUNTIFS($B:$B,"WEST CHESTER",$C:$C,"LIRS",$M:$M,AG65)</f>
        <v>0</v>
      </c>
      <c r="DE65" s="191">
        <f>SUM(DB65:DD65)</f>
        <v>0</v>
      </c>
      <c r="DF65" s="191">
        <f>COUNTIFS($B:$B,"AVONDALE",$C:$C,"USCRI",$M:$M,AG65)</f>
        <v>0</v>
      </c>
      <c r="DG65" s="191">
        <f>COUNTIFS($B:$B,"BENSALEM",$C:$C,"USCRI",$M:$M,AG65)</f>
        <v>0</v>
      </c>
      <c r="DH65" s="191">
        <f>COUNTIFS($B:$B,"BOOTHWYN",$C:$C,"USCRI",$M:$M,AG65)</f>
        <v>0</v>
      </c>
      <c r="DI65" s="191">
        <f>COUNTIFS($B:$B,"BROOMALL",$C:$C,"USCRI",$M:$M,AG65)</f>
        <v>0</v>
      </c>
      <c r="DJ65" s="191">
        <f>COUNTIFS($B:$B,"CHESTER",$C:$C,"USCRI",$M:$M,AG65)</f>
        <v>0</v>
      </c>
      <c r="DK65" s="191">
        <f>COUNTIFS($B:$B,"CLIFTON HEIGHTS",$C:$C,"USCRI",$M:$M,AG65)</f>
        <v>0</v>
      </c>
      <c r="DL65" s="191">
        <f>COUNTIFS($B:$B,"COLLEGEVILLE",$C:$C,"USCRI",$M:$M,AG65)</f>
        <v>0</v>
      </c>
      <c r="DM65" s="191">
        <f>COUNTIFS($B:$B,"COLLINGDALE",$C:$C,"USCRI",$M:$M,AG65)</f>
        <v>0</v>
      </c>
      <c r="DN65" s="191">
        <f>COUNTIFS($B:$B,"CONSHOHOCKEN",$C:$C,"USCRI",$M:$M,AG65)</f>
        <v>0</v>
      </c>
      <c r="DO65" s="191">
        <f>COUNTIFS($B:$B,"DARBY",$C:$C,"USCRI",$M:$M,AG65)</f>
        <v>0</v>
      </c>
      <c r="DP65" s="191">
        <f>COUNTIFS($B:$B,"DOWNINGTOWN",$C:$C,"USCRI",$M:$M,AG65)</f>
        <v>0</v>
      </c>
      <c r="DQ65" s="259">
        <f>COUNTIFS($B:$B,"ELKINS PARK",$C:$C,"USCRI",$M:$M,AG65)</f>
        <v>0</v>
      </c>
      <c r="DR65" s="191">
        <f>COUNTIFS($B:$B,"FEASTERVILLE",$C:$C,"USCRI",$M:$M,AG65)</f>
        <v>0</v>
      </c>
      <c r="DS65" s="191">
        <f>COUNTIFS($B:$B,"HORSHAM",$C:$C,"USCRI",$M:$M,AG65)</f>
        <v>0</v>
      </c>
      <c r="DT65" s="191">
        <f>COUNTIFS($B:$B,"LANGHORNE",$C:$C,"USCRI",$M:$M,AG65)</f>
        <v>0</v>
      </c>
      <c r="DU65" s="191">
        <f>COUNTIFS($B:$B,"LEVITTOWN",$C:$C,"USCRI",$M:$M,AG65)</f>
        <v>0</v>
      </c>
      <c r="DV65" s="191">
        <f>COUNTIFS($B:$B,"MEDIA",$C:$C,"USCRI",$M:$M,AG65)</f>
        <v>0</v>
      </c>
      <c r="DW65" s="191">
        <f>COUNTIFS($B:$B,"NORRISTOWN",$C:$C,"USCRI",$M:$M,AG65)</f>
        <v>0</v>
      </c>
      <c r="DX65" s="191">
        <f>COUNTIFS($B:$B,"NORWOOD",$C:$C,"USCRI",$M:$M,AG65)</f>
        <v>0</v>
      </c>
      <c r="DY65" s="191">
        <f>COUNTIFS($B:$B,"PHILADELPHIA",$C:$C,"USCRI",$M:$M,AG65)</f>
        <v>0</v>
      </c>
      <c r="DZ65" s="191">
        <f>COUNTIFS($B:$B,"SWARTHMORE",$C:$C,"USCRI",$M:$M,AG65)</f>
        <v>0</v>
      </c>
      <c r="EA65" s="191">
        <f>COUNTIFS($B:$B,"TREVOSE",$C:$C,"USCRI",$M:$M,AG65)</f>
        <v>0</v>
      </c>
      <c r="EB65" s="191">
        <f>COUNTIFS($B:$B,"FEASTERVILLE TREVOSE",$C:$C,"USCRI",$M:$M,AG65)</f>
        <v>0</v>
      </c>
      <c r="EC65" s="263">
        <f t="shared" si="445"/>
        <v>0</v>
      </c>
      <c r="ED65" s="191">
        <f>COUNTIFS($B:$B,"UPPER CHICHESTER",$C:$C,"USCRI",$M:$M,AG65)</f>
        <v>0</v>
      </c>
      <c r="EE65" s="191">
        <f>COUNTIFS($B:$B,"WARMINSTER",$C:$C,"USCRI",$M:$M,AG65)</f>
        <v>0</v>
      </c>
      <c r="EF65" s="191">
        <f>COUNTIFS($B:$B,"WEST CHESTER",$C:$C,"USCRI",$M:$M,AG65)</f>
        <v>0</v>
      </c>
      <c r="EG65" s="191">
        <f>COUNTIFS($B:$B,"WILLOW GROVE",$C:$C,"USCRI",$M:$M,AG65)</f>
        <v>0</v>
      </c>
      <c r="EH65" s="191">
        <f>COUNTIFS($B:$B,"SOUTHAMPTON",$C:$C,"USCRI",$M:$M,AG65)</f>
        <v>0</v>
      </c>
      <c r="EI65" s="191">
        <f>SUM(DF65:EH65)</f>
        <v>0</v>
      </c>
      <c r="EJ65" s="259">
        <f t="shared" si="114"/>
        <v>0</v>
      </c>
      <c r="EK65" s="191">
        <f>COUNTIFS($B:$B,"ELKINS PARK",$C:$C,"USCCB",$M:$M,AG65)</f>
        <v>0</v>
      </c>
      <c r="EL65" s="191">
        <f>COUNTIFS($B:$B,"CHESTER",$C:$C,"USCCB",$M:$M,AG65)</f>
        <v>0</v>
      </c>
      <c r="EM65" s="259">
        <f t="shared" si="446"/>
        <v>0</v>
      </c>
      <c r="EN65" s="259">
        <f>COUNTIFS($B:$B,"WARMINSTER",$C:$C,"USCCB",$M:$M,AG65)</f>
        <v>0</v>
      </c>
      <c r="EO65" s="259">
        <f t="shared" si="447"/>
        <v>0</v>
      </c>
      <c r="EQ65" s="191">
        <f>COUNTIFS($B:$B,"ALLENTOWN",$C:$C,"USCCB",$M:$M,AG65)</f>
        <v>0</v>
      </c>
      <c r="ER65" s="191">
        <f>COUNTIFS($B:$B,"EASTON",$C:$C,"USCCB",$M:$M,AG65)</f>
        <v>0</v>
      </c>
      <c r="ES65" s="191">
        <f>COUNTIFS($B:$B,"KINGSTON",$C:$C,"USCCB",$M:$M,AG65)</f>
        <v>0</v>
      </c>
      <c r="ET65" s="191">
        <f>COUNTIFS($B:$B,"NORTHAMPTON",$C:$C,"USCCB",$M:$M,AG65)</f>
        <v>0</v>
      </c>
      <c r="EU65" s="191">
        <f>COUNTIFS($B:$B,"SCRANTON",$C:$C,"USCCB",$M:$M,AG65)</f>
        <v>0</v>
      </c>
      <c r="EV65" s="191">
        <f>COUNTIFS($B:$B,"TAYLOR",$C:$C,"USCCB",$M:$M,AG65)</f>
        <v>0</v>
      </c>
      <c r="EW65" s="191">
        <f>COUNTIFS($B:$B,"WILKES-BARRE",$C:$C,"USCCB",$M:$M,AG65)</f>
        <v>0</v>
      </c>
      <c r="EX65" s="191">
        <f>COUNTIFS($B:$B,"WILLIAMSPORT",$C:$C,"USCCB",$M:$M,AG65)</f>
        <v>0</v>
      </c>
      <c r="EY65" s="191">
        <f>SUM(EQ65,ER65,ES65,ET65,EV65,EW65,EX65)</f>
        <v>0</v>
      </c>
      <c r="EZ65" s="191">
        <f>COUNTIFS($B:$B,"ALLENTOWN",$C:$C,"LIRS",$M:$M,AG65)</f>
        <v>0</v>
      </c>
      <c r="FF65" s="191">
        <f>COUNTIFS($B:$B,"ERIE",$C:$C,"USCCB",$M:$M,AG65)</f>
        <v>0</v>
      </c>
      <c r="FG65" s="191">
        <f>COUNTIFS($B:$B,"ERIE",$C:$C,"USCRI",$M:$M,AG65)</f>
        <v>0</v>
      </c>
      <c r="FH65" s="191">
        <f>COUNTIFS($B:$B,"GIRARD",$C:$C,"USCRI",$M:$M,AG65)</f>
        <v>0</v>
      </c>
      <c r="FI65" s="191">
        <f>SUM(FG65:FH65)</f>
        <v>0</v>
      </c>
      <c r="FL65" s="308" t="s">
        <v>246</v>
      </c>
      <c r="FM65" s="309" t="s">
        <v>247</v>
      </c>
    </row>
    <row r="66" spans="1:169" ht="15.75" thickBot="1" x14ac:dyDescent="0.3">
      <c r="A66" s="304">
        <v>64</v>
      </c>
      <c r="B66" s="299" t="s">
        <v>8</v>
      </c>
      <c r="C66" s="300" t="s">
        <v>249</v>
      </c>
      <c r="D66" s="299"/>
      <c r="E66" s="301"/>
      <c r="F66" s="301"/>
      <c r="G66" s="301"/>
      <c r="H66" s="299"/>
      <c r="I66" s="299"/>
      <c r="J66" s="299"/>
      <c r="K66" s="301"/>
      <c r="L66" s="302"/>
      <c r="M66" s="301" t="s">
        <v>150</v>
      </c>
      <c r="N66" s="303"/>
      <c r="O66" s="302">
        <v>43005</v>
      </c>
      <c r="P66" s="259"/>
      <c r="X66" s="84" t="s">
        <v>6</v>
      </c>
      <c r="Y66" s="97">
        <f>COUNTIFS($B:$B,"HARRISBURG",$C:$C,"USCCB")</f>
        <v>24</v>
      </c>
      <c r="Z66" s="314">
        <f>SUM(Z64:AD64)</f>
        <v>178</v>
      </c>
      <c r="AA66" s="97"/>
      <c r="AB66" s="97"/>
      <c r="AC66" s="97"/>
      <c r="AD66" s="97"/>
      <c r="AF66" s="310">
        <f>SUM(AI66:FI66)</f>
        <v>178</v>
      </c>
      <c r="AG66" s="311" t="s">
        <v>248</v>
      </c>
      <c r="AH66" s="312">
        <f>SUM(AH7:AH65)</f>
        <v>178</v>
      </c>
      <c r="AI66" s="108">
        <f>SUM(AI7:AI65)</f>
        <v>7</v>
      </c>
      <c r="AJ66" s="108">
        <f>SUM(AJ7:AJ65)</f>
        <v>0</v>
      </c>
      <c r="AK66" s="108">
        <f>SUM(AK7:AK65)</f>
        <v>0</v>
      </c>
      <c r="AL66" s="108"/>
      <c r="AM66" s="108">
        <f>SUM(AM7:AM65)</f>
        <v>18</v>
      </c>
      <c r="AN66" s="108">
        <f>SUM(AN7:AN65)</f>
        <v>0</v>
      </c>
      <c r="AO66" s="108"/>
      <c r="AP66" s="108">
        <f>SUM(AP7:AP65)</f>
        <v>0</v>
      </c>
      <c r="AQ66" s="108">
        <f>SUM(AQ7:AQ65)</f>
        <v>0</v>
      </c>
      <c r="AR66" s="108">
        <f>SUM(AR7:AR65)</f>
        <v>0</v>
      </c>
      <c r="AS66" s="108">
        <f>SUM(AS7:AS65)</f>
        <v>0</v>
      </c>
      <c r="AT66" s="108">
        <f>SUM(AT7:AT65)</f>
        <v>0</v>
      </c>
      <c r="AU66" s="108">
        <f>SUM(AU7:AU65)</f>
        <v>0</v>
      </c>
      <c r="AV66" s="108"/>
      <c r="AW66" s="108">
        <f>SUM(AW7:AW65)</f>
        <v>0</v>
      </c>
      <c r="AX66" s="108">
        <f>SUM(AX7:AX65)</f>
        <v>0</v>
      </c>
      <c r="AY66" s="108">
        <f>SUM(AY7:AY65)</f>
        <v>0</v>
      </c>
      <c r="AZ66" s="108">
        <f>SUM(AZ7:AZ65)</f>
        <v>0</v>
      </c>
      <c r="BA66" s="108">
        <f>SUM(BA7:BA65)</f>
        <v>0</v>
      </c>
      <c r="BB66" s="108">
        <f>SUM(BB7:BB65)</f>
        <v>13</v>
      </c>
      <c r="BC66" s="108">
        <f>SUM(BC7:BC65)</f>
        <v>0</v>
      </c>
      <c r="BD66" s="108"/>
      <c r="BE66" s="108">
        <f>SUM(BE7:BE65)</f>
        <v>0</v>
      </c>
      <c r="BF66" s="108">
        <f>SUM(BF7:BF65)</f>
        <v>0</v>
      </c>
      <c r="BG66" s="108">
        <f>SUM(BG7:BG65)</f>
        <v>0</v>
      </c>
      <c r="BH66" s="108">
        <f>SUM(BH7:BH65)</f>
        <v>0</v>
      </c>
      <c r="BI66" s="108">
        <f>SUM(BI7:BI65)</f>
        <v>0</v>
      </c>
      <c r="BJ66" s="108">
        <f>SUM(BJ7:BJ65)</f>
        <v>0</v>
      </c>
      <c r="BK66" s="108">
        <f>SUM(BK7:BK65)</f>
        <v>0</v>
      </c>
      <c r="BL66" s="108">
        <f>SUM(BL7:BL65)</f>
        <v>0</v>
      </c>
      <c r="BM66" s="108">
        <f>SUM(BM7:BM65)</f>
        <v>0</v>
      </c>
      <c r="BN66" s="108">
        <f>SUM(BN7:BN65)</f>
        <v>6</v>
      </c>
      <c r="BO66" s="108">
        <f>SUM(BO7:BO65)</f>
        <v>2</v>
      </c>
      <c r="BP66" s="108">
        <f>SUM(BP7:BP65)</f>
        <v>0</v>
      </c>
      <c r="BQ66" s="108">
        <f>SUM(BQ7:BQ65)</f>
        <v>0</v>
      </c>
      <c r="BR66" s="108">
        <f>SUM(BR7:BR65)</f>
        <v>0</v>
      </c>
      <c r="BS66" s="108">
        <f>SUM(BS7:BS65)</f>
        <v>24</v>
      </c>
      <c r="BT66" s="108">
        <f>SUM(BT7:BT65)</f>
        <v>0</v>
      </c>
      <c r="BU66" s="108">
        <f>SUM(BU7:BU65)</f>
        <v>0</v>
      </c>
      <c r="BV66" s="108">
        <f>SUM(BV7:BV65)</f>
        <v>0</v>
      </c>
      <c r="BW66" s="108">
        <f>SUM(BW7:BW65)</f>
        <v>9</v>
      </c>
      <c r="BX66" s="108">
        <f>SUM(BX7:BX65)</f>
        <v>0</v>
      </c>
      <c r="BY66" s="108">
        <f>SUM(BY7:BY65)</f>
        <v>0</v>
      </c>
      <c r="BZ66" s="108">
        <f>SUM(BZ7:BZ65)</f>
        <v>0</v>
      </c>
      <c r="CA66" s="108">
        <f>SUM(CA7:CA65)</f>
        <v>0</v>
      </c>
      <c r="CB66" s="108">
        <f>SUM(CB7:CB65)</f>
        <v>0</v>
      </c>
      <c r="CC66" s="108">
        <f>SUM(CC7:CC65)</f>
        <v>0</v>
      </c>
      <c r="CD66" s="108">
        <f>SUM(CD7:CD65)</f>
        <v>0</v>
      </c>
      <c r="CE66" s="108"/>
      <c r="CF66" s="108">
        <f>SUM(CF7:CF65)</f>
        <v>0</v>
      </c>
      <c r="CG66" s="108">
        <f>SUM(CG7:CG65)</f>
        <v>0</v>
      </c>
      <c r="CH66" s="108">
        <f>SUM(CH7:CH65)</f>
        <v>0</v>
      </c>
      <c r="CI66" s="108">
        <f>SUM(CI7:CI65)</f>
        <v>26</v>
      </c>
      <c r="CJ66" s="108">
        <f>SUM(CJ7:CJ65)</f>
        <v>0</v>
      </c>
      <c r="CK66" s="108">
        <f>SUM(CK7:CK65)</f>
        <v>0</v>
      </c>
      <c r="CL66" s="108">
        <f>SUM(CL7:CL65)</f>
        <v>0</v>
      </c>
      <c r="CM66" s="108">
        <f>SUM(CM7:CM65)</f>
        <v>0</v>
      </c>
      <c r="CN66" s="108">
        <f>SUM(CN7:CN65)</f>
        <v>0</v>
      </c>
      <c r="CO66" s="108">
        <f>SUM(CO7:CO65)</f>
        <v>0</v>
      </c>
      <c r="CP66" s="108"/>
      <c r="CQ66" s="108">
        <f>SUM(CQ7:CQ65)</f>
        <v>12</v>
      </c>
      <c r="CR66" s="108">
        <f>SUM(CR7:CR65)</f>
        <v>0</v>
      </c>
      <c r="CS66" s="108">
        <f>SUM(CS7:CS65)</f>
        <v>0</v>
      </c>
      <c r="CT66" s="108">
        <f>SUM(CT7:CT65)</f>
        <v>0</v>
      </c>
      <c r="CU66" s="108">
        <f>SUM(CU7:CU65)</f>
        <v>0</v>
      </c>
      <c r="CV66" s="108">
        <f>SUM(CV7:CV65)</f>
        <v>0</v>
      </c>
      <c r="CW66" s="108">
        <f>SUM(CW7:CW65)</f>
        <v>4</v>
      </c>
      <c r="CX66" s="108">
        <f>SUM(CX7:CX65)</f>
        <v>0</v>
      </c>
      <c r="CY66" s="108">
        <f>SUM(CY7:CY65)</f>
        <v>0</v>
      </c>
      <c r="CZ66" s="108">
        <f>SUM(CZ7:CZ65)</f>
        <v>0</v>
      </c>
      <c r="DA66" s="108"/>
      <c r="DB66" s="108">
        <f>SUM(DB7:DB65)</f>
        <v>0</v>
      </c>
      <c r="DC66" s="108">
        <f>SUM(DC7:DC65)</f>
        <v>1</v>
      </c>
      <c r="DD66" s="108">
        <f>SUM(DD7:DD65)</f>
        <v>0</v>
      </c>
      <c r="DE66" s="108"/>
      <c r="DF66" s="108">
        <f>SUM(DF7:DF65)</f>
        <v>0</v>
      </c>
      <c r="DG66" s="108">
        <f>SUM(DG7:DG65)</f>
        <v>1</v>
      </c>
      <c r="DH66" s="108">
        <f>SUM(DH7:DH65)</f>
        <v>0</v>
      </c>
      <c r="DI66" s="108">
        <f>SUM(DI7:DI65)</f>
        <v>0</v>
      </c>
      <c r="DJ66" s="108">
        <f>SUM(DJ7:DJ65)</f>
        <v>0</v>
      </c>
      <c r="DK66" s="108">
        <f>SUM(DK7:DK65)</f>
        <v>0</v>
      </c>
      <c r="DL66" s="108">
        <f>SUM(DL7:DL65)</f>
        <v>0</v>
      </c>
      <c r="DM66" s="108">
        <f>SUM(DM7:DM65)</f>
        <v>0</v>
      </c>
      <c r="DN66" s="108">
        <f>SUM(DN7:DN65)</f>
        <v>0</v>
      </c>
      <c r="DO66" s="108">
        <f>SUM(DO7:DO65)</f>
        <v>0</v>
      </c>
      <c r="DP66" s="108">
        <f>SUM(DP7:DP65)</f>
        <v>0</v>
      </c>
      <c r="DQ66" s="108">
        <f>SUM(DQ7:DQ65)</f>
        <v>1</v>
      </c>
      <c r="DR66" s="108">
        <f>SUM(DR7:DR65)</f>
        <v>0</v>
      </c>
      <c r="DS66" s="108">
        <f>SUM(DS7:DS65)</f>
        <v>0</v>
      </c>
      <c r="DT66" s="108">
        <f>SUM(DT7:DT65)</f>
        <v>0</v>
      </c>
      <c r="DU66" s="108">
        <f>SUM(DU7:DU65)</f>
        <v>0</v>
      </c>
      <c r="DV66" s="108">
        <f>SUM(DV7:DV65)</f>
        <v>0</v>
      </c>
      <c r="DW66" s="108">
        <f>SUM(DW7:DW65)</f>
        <v>0</v>
      </c>
      <c r="DX66" s="108">
        <f>SUM(DX7:DX65)</f>
        <v>0</v>
      </c>
      <c r="DY66" s="108">
        <f>SUM(DY7:DY65)</f>
        <v>12</v>
      </c>
      <c r="DZ66" s="108">
        <f>SUM(DZ7:DZ65)</f>
        <v>0</v>
      </c>
      <c r="EA66" s="108">
        <f>SUM(EA7:EA65)</f>
        <v>0</v>
      </c>
      <c r="EB66" s="108">
        <f>SUM(EB7:EB65)</f>
        <v>0</v>
      </c>
      <c r="EC66" s="108">
        <f>SUM(EC7:EC65)</f>
        <v>0</v>
      </c>
      <c r="ED66" s="108">
        <f>SUM(ED7:ED65)</f>
        <v>0</v>
      </c>
      <c r="EE66" s="108">
        <f>SUM(EE7:EE65)</f>
        <v>0</v>
      </c>
      <c r="EF66" s="108">
        <f>SUM(EF7:EF65)</f>
        <v>0</v>
      </c>
      <c r="EG66" s="108">
        <f>SUM(EG7:EG65)</f>
        <v>0</v>
      </c>
      <c r="EH66" s="108">
        <f>SUM(EH7:EH65)</f>
        <v>0</v>
      </c>
      <c r="EI66" s="108"/>
      <c r="EJ66" s="108">
        <f>SUM(EJ7:EJ65)</f>
        <v>8</v>
      </c>
      <c r="EK66" s="108">
        <f>SUM(EK7:EK65)</f>
        <v>0</v>
      </c>
      <c r="EL66" s="108">
        <f>SUM(EL7:EL65)</f>
        <v>0</v>
      </c>
      <c r="EM66" s="108">
        <f>SUM(EM7:EM65)</f>
        <v>0</v>
      </c>
      <c r="EN66" s="108">
        <f>SUM(EN7:EN65)</f>
        <v>0</v>
      </c>
      <c r="EO66" s="108"/>
      <c r="EP66" s="108">
        <f>SUM(EP7:EP65)</f>
        <v>0</v>
      </c>
      <c r="EQ66" s="108">
        <f>SUM(EQ7:EQ65)</f>
        <v>0</v>
      </c>
      <c r="ER66" s="108">
        <f>SUM(ER7:ER65)</f>
        <v>0</v>
      </c>
      <c r="ES66" s="108">
        <f>SUM(ES7:ES65)</f>
        <v>0</v>
      </c>
      <c r="ET66" s="108">
        <f>SUM(ET7:ET65)</f>
        <v>0</v>
      </c>
      <c r="EU66" s="108">
        <f>SUM(EU7:EU65)</f>
        <v>11</v>
      </c>
      <c r="EV66" s="108">
        <f>SUM(EV7:EV65)</f>
        <v>0</v>
      </c>
      <c r="EW66" s="108">
        <f>SUM(EW7:EW65)</f>
        <v>0</v>
      </c>
      <c r="EX66" s="108">
        <f>SUM(EX7:EX65)</f>
        <v>0</v>
      </c>
      <c r="EY66" s="108"/>
      <c r="EZ66" s="108">
        <f>SUM(EZ7:EZ65)</f>
        <v>5</v>
      </c>
      <c r="FA66" s="108">
        <f>SUM(FA7:FA65)</f>
        <v>0</v>
      </c>
      <c r="FB66" s="108">
        <f>SUM(FB7:FB65)</f>
        <v>0</v>
      </c>
      <c r="FC66" s="108">
        <f>SUM(FC7:FC65)</f>
        <v>0</v>
      </c>
      <c r="FD66" s="108">
        <f>SUM(FD7:FD65)</f>
        <v>0</v>
      </c>
      <c r="FE66" s="108">
        <f>SUM(FE7:FE65)</f>
        <v>0</v>
      </c>
      <c r="FF66" s="108">
        <f>SUM(FF7:FF65)</f>
        <v>4</v>
      </c>
      <c r="FG66" s="108">
        <f>SUM(FG7:FG65)</f>
        <v>14</v>
      </c>
      <c r="FH66" s="108">
        <f>SUM(FH7:FH65)</f>
        <v>0</v>
      </c>
      <c r="FI66" s="108"/>
    </row>
    <row r="67" spans="1:169" ht="15" customHeight="1" thickBot="1" x14ac:dyDescent="0.3">
      <c r="A67" s="304">
        <v>65</v>
      </c>
      <c r="B67" s="299" t="s">
        <v>8</v>
      </c>
      <c r="C67" s="300" t="s">
        <v>249</v>
      </c>
      <c r="D67" s="299"/>
      <c r="E67" s="301"/>
      <c r="F67" s="301"/>
      <c r="G67" s="301"/>
      <c r="H67" s="299"/>
      <c r="I67" s="299"/>
      <c r="J67" s="299"/>
      <c r="K67" s="301"/>
      <c r="L67" s="302"/>
      <c r="M67" s="301" t="s">
        <v>150</v>
      </c>
      <c r="N67" s="303"/>
      <c r="O67" s="302">
        <v>43005</v>
      </c>
      <c r="P67" s="259"/>
      <c r="X67" s="84" t="s">
        <v>68</v>
      </c>
      <c r="Y67" s="97">
        <f>COUNTIFS($B:$B,"HUMMELSTOWN",$C:$C,"USCCB")</f>
        <v>0</v>
      </c>
      <c r="Z67" s="97"/>
      <c r="AA67" s="97"/>
      <c r="AB67" s="97"/>
      <c r="AC67" s="97"/>
      <c r="AD67" s="97"/>
      <c r="AF67" s="82"/>
      <c r="AG67" s="118" t="s">
        <v>53</v>
      </c>
      <c r="AH67" s="118"/>
      <c r="AI67" s="315">
        <f>SUM(AJ67:FI67)</f>
        <v>178</v>
      </c>
      <c r="BD67" s="191">
        <f>SUM(AI66:BC66)</f>
        <v>38</v>
      </c>
      <c r="CR67" s="191">
        <f>SUM(BH66:CQ66)</f>
        <v>79</v>
      </c>
      <c r="EI67" s="191">
        <f>SUM(CT66:EH66)</f>
        <v>19</v>
      </c>
      <c r="EO67" s="191">
        <f>SUM(EJ66:EN66)</f>
        <v>8</v>
      </c>
      <c r="FA67" s="191">
        <f>SUM(EQ66:EZ66)</f>
        <v>16</v>
      </c>
      <c r="FI67" s="191">
        <f>SUM(FE66:FH66)</f>
        <v>18</v>
      </c>
    </row>
    <row r="68" spans="1:169" ht="15" customHeight="1" thickBot="1" x14ac:dyDescent="0.3">
      <c r="A68" s="304">
        <v>66</v>
      </c>
      <c r="B68" s="299" t="s">
        <v>8</v>
      </c>
      <c r="C68" s="300" t="s">
        <v>1</v>
      </c>
      <c r="D68" s="299"/>
      <c r="E68" s="301"/>
      <c r="F68" s="301"/>
      <c r="G68" s="301"/>
      <c r="H68" s="299"/>
      <c r="I68" s="299"/>
      <c r="J68" s="299"/>
      <c r="K68" s="301"/>
      <c r="L68" s="302"/>
      <c r="M68" s="301" t="s">
        <v>150</v>
      </c>
      <c r="N68" s="303"/>
      <c r="O68" s="302">
        <v>43005</v>
      </c>
      <c r="P68" s="259"/>
      <c r="X68" s="84" t="s">
        <v>38</v>
      </c>
      <c r="Y68" s="97">
        <f>COUNTIFS($B:$B,"LEBANON",$C:$C,"USCCB")</f>
        <v>0</v>
      </c>
      <c r="Z68" s="97"/>
      <c r="AA68" s="97"/>
      <c r="AB68" s="97"/>
      <c r="AC68" s="97"/>
      <c r="AD68" s="97"/>
    </row>
    <row r="69" spans="1:169" ht="15" customHeight="1" thickBot="1" x14ac:dyDescent="0.3">
      <c r="A69" s="304">
        <v>67</v>
      </c>
      <c r="B69" s="299" t="s">
        <v>8</v>
      </c>
      <c r="C69" s="300" t="s">
        <v>1</v>
      </c>
      <c r="D69" s="299"/>
      <c r="E69" s="301"/>
      <c r="F69" s="301"/>
      <c r="G69" s="301"/>
      <c r="H69" s="299"/>
      <c r="I69" s="299"/>
      <c r="J69" s="299"/>
      <c r="K69" s="301"/>
      <c r="L69" s="302"/>
      <c r="M69" s="301" t="s">
        <v>150</v>
      </c>
      <c r="N69" s="303"/>
      <c r="O69" s="302">
        <v>42998</v>
      </c>
      <c r="P69" s="259"/>
      <c r="X69" s="84" t="s">
        <v>286</v>
      </c>
      <c r="Y69" s="97">
        <f>COUNTIFS($B:$B,"MCSHERRYSTOWN",$C:$C,"USCCB")</f>
        <v>0</v>
      </c>
      <c r="Z69" s="97"/>
      <c r="AA69" s="97"/>
      <c r="AB69" s="97"/>
      <c r="AC69" s="97"/>
      <c r="AD69" s="97"/>
      <c r="AI69" s="74" t="s">
        <v>13</v>
      </c>
      <c r="AJ69" s="74" t="s">
        <v>13</v>
      </c>
      <c r="AK69" s="74" t="s">
        <v>13</v>
      </c>
      <c r="AL69" s="137" t="s">
        <v>13</v>
      </c>
      <c r="AM69" s="74" t="s">
        <v>11</v>
      </c>
      <c r="AN69" s="74" t="s">
        <v>11</v>
      </c>
      <c r="AO69" s="137" t="s">
        <v>11</v>
      </c>
      <c r="AP69" s="74" t="s">
        <v>3</v>
      </c>
      <c r="AQ69" s="74" t="s">
        <v>3</v>
      </c>
      <c r="AR69" s="74" t="s">
        <v>3</v>
      </c>
      <c r="AS69" s="74" t="s">
        <v>3</v>
      </c>
      <c r="AT69" s="74" t="s">
        <v>3</v>
      </c>
      <c r="AU69" s="74" t="s">
        <v>3</v>
      </c>
      <c r="AV69" s="137" t="s">
        <v>3</v>
      </c>
      <c r="AW69" s="74" t="s">
        <v>5</v>
      </c>
      <c r="AX69" s="74" t="s">
        <v>5</v>
      </c>
      <c r="AY69" s="74" t="s">
        <v>5</v>
      </c>
      <c r="AZ69" s="74" t="s">
        <v>5</v>
      </c>
      <c r="BA69" s="74" t="s">
        <v>5</v>
      </c>
      <c r="BB69" s="74" t="s">
        <v>5</v>
      </c>
      <c r="BC69" s="74" t="s">
        <v>5</v>
      </c>
      <c r="BD69" s="137" t="s">
        <v>5</v>
      </c>
      <c r="BE69" s="75"/>
      <c r="BF69" s="75"/>
      <c r="BG69" s="75"/>
      <c r="BH69" s="75"/>
      <c r="BI69" s="76" t="s">
        <v>3</v>
      </c>
      <c r="BJ69" s="76" t="s">
        <v>3</v>
      </c>
      <c r="BK69" s="76" t="s">
        <v>3</v>
      </c>
      <c r="BL69" s="76" t="s">
        <v>3</v>
      </c>
      <c r="BM69" s="76" t="s">
        <v>3</v>
      </c>
      <c r="BN69" s="76" t="s">
        <v>3</v>
      </c>
      <c r="BO69" s="76" t="s">
        <v>3</v>
      </c>
      <c r="BP69" s="76" t="s">
        <v>3</v>
      </c>
      <c r="BQ69" s="76" t="s">
        <v>3</v>
      </c>
      <c r="BR69" s="76" t="s">
        <v>3</v>
      </c>
      <c r="BS69" s="76" t="s">
        <v>3</v>
      </c>
      <c r="BT69" s="76" t="s">
        <v>3</v>
      </c>
      <c r="BU69" s="76" t="s">
        <v>3</v>
      </c>
      <c r="BV69" s="76" t="s">
        <v>3</v>
      </c>
      <c r="BW69" s="76" t="s">
        <v>3</v>
      </c>
      <c r="BX69" s="76" t="s">
        <v>3</v>
      </c>
      <c r="BY69" s="76" t="s">
        <v>3</v>
      </c>
      <c r="BZ69" s="76" t="s">
        <v>3</v>
      </c>
      <c r="CA69" s="76" t="s">
        <v>3</v>
      </c>
      <c r="CB69" s="76" t="s">
        <v>3</v>
      </c>
      <c r="CC69" s="76" t="s">
        <v>3</v>
      </c>
      <c r="CD69" s="76" t="s">
        <v>3</v>
      </c>
      <c r="CE69" s="137" t="s">
        <v>3</v>
      </c>
      <c r="CF69" s="76" t="s">
        <v>59</v>
      </c>
      <c r="CG69" s="76" t="s">
        <v>59</v>
      </c>
      <c r="CH69" s="76" t="s">
        <v>59</v>
      </c>
      <c r="CI69" s="76" t="s">
        <v>59</v>
      </c>
      <c r="CJ69" s="76" t="s">
        <v>59</v>
      </c>
      <c r="CK69" s="76" t="s">
        <v>59</v>
      </c>
      <c r="CL69" s="76" t="s">
        <v>59</v>
      </c>
      <c r="CM69" s="76" t="s">
        <v>59</v>
      </c>
      <c r="CN69" s="76" t="s">
        <v>59</v>
      </c>
      <c r="CO69" s="76" t="s">
        <v>59</v>
      </c>
      <c r="CP69" s="137" t="s">
        <v>59</v>
      </c>
      <c r="CQ69" s="76" t="s">
        <v>1</v>
      </c>
      <c r="CR69" s="75"/>
      <c r="CS69" s="75"/>
      <c r="CT69" s="75"/>
      <c r="CU69" s="75"/>
      <c r="CV69" s="75"/>
      <c r="CW69" s="77" t="s">
        <v>11</v>
      </c>
      <c r="CX69" s="77" t="s">
        <v>59</v>
      </c>
      <c r="CY69" s="77" t="s">
        <v>59</v>
      </c>
      <c r="CZ69" s="77" t="s">
        <v>59</v>
      </c>
      <c r="DA69" s="137" t="s">
        <v>59</v>
      </c>
      <c r="DB69" s="77" t="s">
        <v>1</v>
      </c>
      <c r="DC69" s="77" t="s">
        <v>1</v>
      </c>
      <c r="DD69" s="77" t="s">
        <v>1</v>
      </c>
      <c r="DE69" s="137" t="s">
        <v>1</v>
      </c>
      <c r="DF69" s="77" t="s">
        <v>5</v>
      </c>
      <c r="DG69" s="77" t="s">
        <v>5</v>
      </c>
      <c r="DH69" s="77" t="s">
        <v>5</v>
      </c>
      <c r="DI69" s="77" t="s">
        <v>5</v>
      </c>
      <c r="DJ69" s="77" t="s">
        <v>5</v>
      </c>
      <c r="DK69" s="77" t="s">
        <v>5</v>
      </c>
      <c r="DL69" s="77" t="s">
        <v>5</v>
      </c>
      <c r="DM69" s="77" t="s">
        <v>5</v>
      </c>
      <c r="DN69" s="77" t="s">
        <v>5</v>
      </c>
      <c r="DO69" s="77" t="s">
        <v>5</v>
      </c>
      <c r="DP69" s="77" t="s">
        <v>5</v>
      </c>
      <c r="DQ69" s="77" t="s">
        <v>5</v>
      </c>
      <c r="DR69" s="77" t="s">
        <v>5</v>
      </c>
      <c r="DS69" s="77" t="s">
        <v>5</v>
      </c>
      <c r="DT69" s="77" t="s">
        <v>5</v>
      </c>
      <c r="DU69" s="77" t="s">
        <v>5</v>
      </c>
      <c r="DV69" s="77" t="s">
        <v>5</v>
      </c>
      <c r="DW69" s="77" t="s">
        <v>5</v>
      </c>
      <c r="DX69" s="77" t="s">
        <v>5</v>
      </c>
      <c r="DY69" s="77" t="s">
        <v>5</v>
      </c>
      <c r="DZ69" s="77" t="s">
        <v>5</v>
      </c>
      <c r="EA69" s="77" t="s">
        <v>5</v>
      </c>
      <c r="EB69" s="77" t="s">
        <v>5</v>
      </c>
      <c r="EC69" s="77" t="s">
        <v>5</v>
      </c>
      <c r="ED69" s="77" t="s">
        <v>5</v>
      </c>
      <c r="EE69" s="77" t="s">
        <v>5</v>
      </c>
      <c r="EF69" s="77" t="s">
        <v>5</v>
      </c>
      <c r="EG69" s="77" t="s">
        <v>5</v>
      </c>
      <c r="EH69" s="77" t="s">
        <v>5</v>
      </c>
      <c r="EI69" s="137" t="s">
        <v>5</v>
      </c>
      <c r="EJ69" s="77" t="s">
        <v>3</v>
      </c>
      <c r="EK69" s="77" t="s">
        <v>3</v>
      </c>
      <c r="EL69" s="77" t="s">
        <v>3</v>
      </c>
      <c r="EM69" s="77"/>
      <c r="EN69" s="77" t="s">
        <v>3</v>
      </c>
      <c r="EO69" s="137" t="s">
        <v>3</v>
      </c>
      <c r="EP69" s="75"/>
      <c r="EQ69" s="78" t="s">
        <v>3</v>
      </c>
      <c r="ER69" s="78" t="s">
        <v>3</v>
      </c>
      <c r="ES69" s="78" t="s">
        <v>3</v>
      </c>
      <c r="ET69" s="78" t="s">
        <v>3</v>
      </c>
      <c r="EU69" s="78" t="s">
        <v>3</v>
      </c>
      <c r="EV69" s="78" t="s">
        <v>3</v>
      </c>
      <c r="EW69" s="78" t="s">
        <v>3</v>
      </c>
      <c r="EX69" s="78" t="s">
        <v>3</v>
      </c>
      <c r="EY69" s="137" t="s">
        <v>3</v>
      </c>
      <c r="EZ69" s="78" t="s">
        <v>1</v>
      </c>
      <c r="FA69" s="75"/>
      <c r="FB69" s="75"/>
      <c r="FC69" s="75"/>
      <c r="FD69" s="79"/>
      <c r="FE69" s="75"/>
      <c r="FF69" s="80" t="s">
        <v>3</v>
      </c>
      <c r="FG69" s="80" t="s">
        <v>5</v>
      </c>
      <c r="FH69" s="80" t="s">
        <v>5</v>
      </c>
      <c r="FI69" s="75"/>
    </row>
    <row r="70" spans="1:169" ht="15" customHeight="1" thickBot="1" x14ac:dyDescent="0.3">
      <c r="A70" s="304">
        <v>68</v>
      </c>
      <c r="B70" s="299" t="s">
        <v>8</v>
      </c>
      <c r="C70" s="300" t="s">
        <v>1</v>
      </c>
      <c r="D70" s="299"/>
      <c r="E70" s="301"/>
      <c r="F70" s="301"/>
      <c r="G70" s="301"/>
      <c r="H70" s="299"/>
      <c r="I70" s="299"/>
      <c r="J70" s="299"/>
      <c r="K70" s="301"/>
      <c r="L70" s="302"/>
      <c r="M70" s="301" t="s">
        <v>150</v>
      </c>
      <c r="N70" s="303"/>
      <c r="O70" s="302">
        <v>43005</v>
      </c>
      <c r="P70" s="259"/>
      <c r="X70" s="84" t="s">
        <v>9</v>
      </c>
      <c r="Y70" s="97">
        <f>COUNTIFS($B:$B,"MECHANICSBURG",$C:$C,"USCCB")</f>
        <v>9</v>
      </c>
      <c r="Z70" s="97"/>
      <c r="AA70" s="97"/>
      <c r="AB70" s="97"/>
      <c r="AC70" s="97"/>
      <c r="AD70" s="97"/>
      <c r="AI70" s="83" t="s">
        <v>12</v>
      </c>
      <c r="AJ70" s="83" t="s">
        <v>61</v>
      </c>
      <c r="AK70" s="83" t="s">
        <v>62</v>
      </c>
      <c r="AL70" s="138" t="s">
        <v>40</v>
      </c>
      <c r="AM70" s="83" t="s">
        <v>12</v>
      </c>
      <c r="AN70" s="83" t="s">
        <v>109</v>
      </c>
      <c r="AO70" s="138" t="s">
        <v>40</v>
      </c>
      <c r="AP70" s="83" t="s">
        <v>114</v>
      </c>
      <c r="AQ70" s="83" t="s">
        <v>92</v>
      </c>
      <c r="AR70" s="83" t="s">
        <v>31</v>
      </c>
      <c r="AS70" s="83" t="s">
        <v>770</v>
      </c>
      <c r="AT70" s="83" t="s">
        <v>12</v>
      </c>
      <c r="AU70" s="83" t="s">
        <v>106</v>
      </c>
      <c r="AV70" s="138" t="s">
        <v>40</v>
      </c>
      <c r="AW70" s="83" t="s">
        <v>117</v>
      </c>
      <c r="AX70" s="83" t="s">
        <v>122</v>
      </c>
      <c r="AY70" s="83" t="s">
        <v>63</v>
      </c>
      <c r="AZ70" s="83" t="s">
        <v>99</v>
      </c>
      <c r="BA70" s="83" t="s">
        <v>120</v>
      </c>
      <c r="BB70" s="83" t="s">
        <v>12</v>
      </c>
      <c r="BC70" s="83" t="s">
        <v>109</v>
      </c>
      <c r="BD70" s="138" t="s">
        <v>40</v>
      </c>
      <c r="BE70" s="79"/>
      <c r="BF70" s="79"/>
      <c r="BG70" s="79"/>
      <c r="BH70" s="79"/>
      <c r="BI70" s="84" t="s">
        <v>119</v>
      </c>
      <c r="BJ70" s="84" t="s">
        <v>64</v>
      </c>
      <c r="BK70" s="84" t="s">
        <v>2</v>
      </c>
      <c r="BL70" s="84" t="s">
        <v>65</v>
      </c>
      <c r="BM70" s="84" t="s">
        <v>66</v>
      </c>
      <c r="BN70" s="84" t="s">
        <v>111</v>
      </c>
      <c r="BO70" s="84" t="s">
        <v>777</v>
      </c>
      <c r="BP70" s="84" t="s">
        <v>67</v>
      </c>
      <c r="BQ70" s="84" t="s">
        <v>115</v>
      </c>
      <c r="BR70" s="84" t="s">
        <v>774</v>
      </c>
      <c r="BS70" s="84" t="s">
        <v>6</v>
      </c>
      <c r="BT70" s="84" t="s">
        <v>68</v>
      </c>
      <c r="BU70" s="84" t="s">
        <v>38</v>
      </c>
      <c r="BV70" s="84" t="s">
        <v>286</v>
      </c>
      <c r="BW70" s="84" t="s">
        <v>9</v>
      </c>
      <c r="BX70" s="84" t="s">
        <v>69</v>
      </c>
      <c r="BY70" s="84" t="s">
        <v>104</v>
      </c>
      <c r="BZ70" s="84" t="s">
        <v>70</v>
      </c>
      <c r="CA70" s="84" t="s">
        <v>107</v>
      </c>
      <c r="CB70" s="84" t="s">
        <v>71</v>
      </c>
      <c r="CC70" s="84" t="s">
        <v>94</v>
      </c>
      <c r="CD70" s="84" t="s">
        <v>39</v>
      </c>
      <c r="CE70" s="138" t="s">
        <v>40</v>
      </c>
      <c r="CF70" s="84" t="s">
        <v>66</v>
      </c>
      <c r="CG70" s="84" t="s">
        <v>67</v>
      </c>
      <c r="CH70" s="84" t="s">
        <v>6</v>
      </c>
      <c r="CI70" s="84" t="s">
        <v>8</v>
      </c>
      <c r="CJ70" s="84" t="s">
        <v>128</v>
      </c>
      <c r="CK70" s="84" t="s">
        <v>72</v>
      </c>
      <c r="CL70" s="84" t="s">
        <v>9</v>
      </c>
      <c r="CM70" s="84" t="s">
        <v>73</v>
      </c>
      <c r="CN70" s="84" t="s">
        <v>39</v>
      </c>
      <c r="CO70" s="84" t="s">
        <v>74</v>
      </c>
      <c r="CP70" s="138" t="s">
        <v>40</v>
      </c>
      <c r="CQ70" s="84" t="s">
        <v>8</v>
      </c>
      <c r="CR70" s="79"/>
      <c r="CS70" s="79"/>
      <c r="CT70" s="79"/>
      <c r="CU70" s="79"/>
      <c r="CV70" s="79"/>
      <c r="CW70" s="85" t="s">
        <v>10</v>
      </c>
      <c r="CX70" s="85" t="s">
        <v>75</v>
      </c>
      <c r="CY70" s="85" t="s">
        <v>76</v>
      </c>
      <c r="CZ70" s="85" t="s">
        <v>10</v>
      </c>
      <c r="DA70" s="138" t="s">
        <v>40</v>
      </c>
      <c r="DB70" s="85" t="s">
        <v>10</v>
      </c>
      <c r="DC70" s="85" t="s">
        <v>14</v>
      </c>
      <c r="DD70" s="85" t="s">
        <v>77</v>
      </c>
      <c r="DE70" s="139" t="s">
        <v>40</v>
      </c>
      <c r="DF70" s="86" t="s">
        <v>78</v>
      </c>
      <c r="DG70" s="85" t="s">
        <v>79</v>
      </c>
      <c r="DH70" s="85" t="s">
        <v>101</v>
      </c>
      <c r="DI70" s="85" t="s">
        <v>113</v>
      </c>
      <c r="DJ70" s="85" t="s">
        <v>44</v>
      </c>
      <c r="DK70" s="85" t="s">
        <v>80</v>
      </c>
      <c r="DL70" s="85" t="s">
        <v>116</v>
      </c>
      <c r="DM70" s="85" t="s">
        <v>81</v>
      </c>
      <c r="DN70" s="85" t="s">
        <v>76</v>
      </c>
      <c r="DO70" s="85" t="s">
        <v>82</v>
      </c>
      <c r="DP70" s="85" t="s">
        <v>97</v>
      </c>
      <c r="DQ70" s="85" t="s">
        <v>108</v>
      </c>
      <c r="DR70" s="85" t="s">
        <v>105</v>
      </c>
      <c r="DS70" s="85" t="s">
        <v>279</v>
      </c>
      <c r="DT70" s="85" t="s">
        <v>95</v>
      </c>
      <c r="DU70" s="85" t="s">
        <v>83</v>
      </c>
      <c r="DV70" s="85" t="s">
        <v>121</v>
      </c>
      <c r="DW70" s="85" t="s">
        <v>123</v>
      </c>
      <c r="DX70" s="85" t="s">
        <v>102</v>
      </c>
      <c r="DY70" s="85" t="s">
        <v>10</v>
      </c>
      <c r="DZ70" s="85" t="s">
        <v>118</v>
      </c>
      <c r="EA70" s="85" t="s">
        <v>84</v>
      </c>
      <c r="EB70" s="85" t="s">
        <v>282</v>
      </c>
      <c r="EC70" s="85" t="s">
        <v>766</v>
      </c>
      <c r="ED70" s="85" t="s">
        <v>103</v>
      </c>
      <c r="EE70" s="85" t="s">
        <v>16</v>
      </c>
      <c r="EF70" s="85" t="s">
        <v>77</v>
      </c>
      <c r="EG70" s="87" t="s">
        <v>85</v>
      </c>
      <c r="EH70" s="85" t="s">
        <v>267</v>
      </c>
      <c r="EI70" s="139" t="s">
        <v>40</v>
      </c>
      <c r="EJ70" s="85" t="s">
        <v>10</v>
      </c>
      <c r="EK70" s="85" t="s">
        <v>108</v>
      </c>
      <c r="EL70" s="85" t="s">
        <v>44</v>
      </c>
      <c r="EM70" s="85"/>
      <c r="EN70" s="85" t="s">
        <v>16</v>
      </c>
      <c r="EO70" s="139" t="s">
        <v>40</v>
      </c>
      <c r="EP70" s="79"/>
      <c r="EQ70" s="88" t="s">
        <v>0</v>
      </c>
      <c r="ER70" s="88" t="s">
        <v>110</v>
      </c>
      <c r="ES70" s="88" t="s">
        <v>7</v>
      </c>
      <c r="ET70" s="88" t="s">
        <v>112</v>
      </c>
      <c r="EU70" s="88" t="s">
        <v>15</v>
      </c>
      <c r="EV70" s="88" t="s">
        <v>86</v>
      </c>
      <c r="EW70" s="88" t="s">
        <v>98</v>
      </c>
      <c r="EX70" s="88" t="s">
        <v>87</v>
      </c>
      <c r="EY70" s="138" t="s">
        <v>40</v>
      </c>
      <c r="EZ70" s="88" t="s">
        <v>0</v>
      </c>
      <c r="FA70" s="79"/>
      <c r="FB70" s="79"/>
      <c r="FC70" s="79"/>
      <c r="FD70" s="79"/>
      <c r="FE70" s="79"/>
      <c r="FF70" s="89" t="s">
        <v>4</v>
      </c>
      <c r="FG70" s="89" t="s">
        <v>4</v>
      </c>
      <c r="FH70" s="89" t="s">
        <v>91</v>
      </c>
      <c r="FI70" s="79"/>
    </row>
    <row r="71" spans="1:169" ht="15" customHeight="1" thickBot="1" x14ac:dyDescent="0.3">
      <c r="A71" s="304">
        <v>69</v>
      </c>
      <c r="B71" s="299" t="s">
        <v>8</v>
      </c>
      <c r="C71" s="300" t="s">
        <v>1</v>
      </c>
      <c r="D71" s="299"/>
      <c r="E71" s="301"/>
      <c r="F71" s="301"/>
      <c r="G71" s="301"/>
      <c r="H71" s="299"/>
      <c r="I71" s="299"/>
      <c r="J71" s="299"/>
      <c r="K71" s="301"/>
      <c r="L71" s="302"/>
      <c r="M71" s="301" t="s">
        <v>150</v>
      </c>
      <c r="N71" s="303"/>
      <c r="O71" s="302">
        <v>43005</v>
      </c>
      <c r="P71" s="259"/>
      <c r="X71" s="84" t="s">
        <v>69</v>
      </c>
      <c r="Y71" s="97">
        <f>COUNTIFS($B:$B,"MIDDLETOWN",$C:$C,"USCCB")</f>
        <v>0</v>
      </c>
      <c r="Z71" s="97"/>
      <c r="AA71" s="97"/>
      <c r="AB71" s="97"/>
      <c r="AC71" s="97"/>
      <c r="AD71" s="97"/>
    </row>
    <row r="72" spans="1:169" ht="15" customHeight="1" thickBot="1" x14ac:dyDescent="0.3">
      <c r="A72" s="304">
        <v>70</v>
      </c>
      <c r="B72" s="299" t="s">
        <v>8</v>
      </c>
      <c r="C72" s="300" t="s">
        <v>1</v>
      </c>
      <c r="D72" s="299"/>
      <c r="E72" s="301"/>
      <c r="F72" s="301"/>
      <c r="G72" s="301"/>
      <c r="H72" s="299"/>
      <c r="I72" s="299"/>
      <c r="J72" s="299"/>
      <c r="K72" s="301"/>
      <c r="L72" s="302"/>
      <c r="M72" s="301" t="s">
        <v>150</v>
      </c>
      <c r="N72" s="303"/>
      <c r="O72" s="302">
        <v>43005</v>
      </c>
      <c r="P72" s="259"/>
      <c r="X72" s="84" t="s">
        <v>104</v>
      </c>
      <c r="Y72" s="97">
        <f>COUNTIFS($B:$B,"NEW CUMBERLAND",$C:$C,"USCCB")</f>
        <v>0</v>
      </c>
      <c r="Z72" s="97"/>
      <c r="AA72" s="97"/>
      <c r="AB72" s="97"/>
      <c r="AC72" s="97"/>
      <c r="AD72" s="97"/>
    </row>
    <row r="73" spans="1:169" ht="15" customHeight="1" thickBot="1" x14ac:dyDescent="0.3">
      <c r="A73" s="304">
        <v>71</v>
      </c>
      <c r="B73" s="299" t="s">
        <v>8</v>
      </c>
      <c r="C73" s="300" t="s">
        <v>249</v>
      </c>
      <c r="D73" s="299"/>
      <c r="E73" s="301"/>
      <c r="F73" s="301"/>
      <c r="G73" s="301"/>
      <c r="H73" s="299"/>
      <c r="I73" s="299"/>
      <c r="J73" s="299"/>
      <c r="K73" s="301"/>
      <c r="L73" s="302"/>
      <c r="M73" s="301" t="s">
        <v>147</v>
      </c>
      <c r="N73" s="303"/>
      <c r="O73" s="302">
        <v>42998</v>
      </c>
      <c r="P73" s="259"/>
      <c r="X73" s="84" t="s">
        <v>70</v>
      </c>
      <c r="Y73" s="97">
        <f>COUNTIFS($B:$B,"PALMYRA",$C:$C,"USCCB")</f>
        <v>0</v>
      </c>
      <c r="Z73" s="97"/>
      <c r="AA73" s="97"/>
      <c r="AB73" s="97"/>
      <c r="AC73" s="97"/>
      <c r="AD73" s="97"/>
    </row>
    <row r="74" spans="1:169" ht="15" customHeight="1" thickBot="1" x14ac:dyDescent="0.3">
      <c r="A74" s="304">
        <v>72</v>
      </c>
      <c r="B74" s="299" t="s">
        <v>8</v>
      </c>
      <c r="C74" s="300" t="s">
        <v>249</v>
      </c>
      <c r="D74" s="299"/>
      <c r="E74" s="301"/>
      <c r="F74" s="301"/>
      <c r="G74" s="301"/>
      <c r="H74" s="299"/>
      <c r="I74" s="299"/>
      <c r="J74" s="299"/>
      <c r="K74" s="301"/>
      <c r="L74" s="302"/>
      <c r="M74" s="301" t="s">
        <v>241</v>
      </c>
      <c r="N74" s="303"/>
      <c r="O74" s="302">
        <v>42985</v>
      </c>
      <c r="P74" s="259"/>
      <c r="X74" s="84" t="s">
        <v>107</v>
      </c>
      <c r="Y74" s="97">
        <f>COUNTIFS($B:$B,"SHIREMANSTOWN",$C:$C,"USCCB")</f>
        <v>0</v>
      </c>
      <c r="Z74" s="97"/>
      <c r="AA74" s="97"/>
      <c r="AB74" s="97"/>
      <c r="AC74" s="97"/>
      <c r="AD74" s="97"/>
    </row>
    <row r="75" spans="1:169" ht="15" customHeight="1" thickBot="1" x14ac:dyDescent="0.3">
      <c r="A75" s="304">
        <v>73</v>
      </c>
      <c r="B75" s="299" t="s">
        <v>8</v>
      </c>
      <c r="C75" s="300" t="s">
        <v>249</v>
      </c>
      <c r="D75" s="299"/>
      <c r="E75" s="301"/>
      <c r="F75" s="301"/>
      <c r="G75" s="301"/>
      <c r="H75" s="299"/>
      <c r="I75" s="299"/>
      <c r="J75" s="299"/>
      <c r="K75" s="301"/>
      <c r="L75" s="302"/>
      <c r="M75" s="301" t="s">
        <v>241</v>
      </c>
      <c r="N75" s="303"/>
      <c r="O75" s="302">
        <v>42985</v>
      </c>
      <c r="P75" s="259"/>
      <c r="X75" s="84" t="s">
        <v>71</v>
      </c>
      <c r="Y75" s="97">
        <f>COUNTIFS($B:$B,"STATE COLLEGE",$C:$C,"USCCB")</f>
        <v>0</v>
      </c>
      <c r="Z75" s="97"/>
      <c r="AA75" s="97"/>
      <c r="AB75" s="97"/>
      <c r="AC75" s="97"/>
      <c r="AD75" s="97"/>
    </row>
    <row r="76" spans="1:169" ht="15" customHeight="1" thickBot="1" x14ac:dyDescent="0.3">
      <c r="A76" s="304">
        <v>74</v>
      </c>
      <c r="B76" s="299" t="s">
        <v>8</v>
      </c>
      <c r="C76" s="300" t="s">
        <v>249</v>
      </c>
      <c r="D76" s="299"/>
      <c r="E76" s="301"/>
      <c r="F76" s="301"/>
      <c r="G76" s="301"/>
      <c r="H76" s="299"/>
      <c r="I76" s="299"/>
      <c r="J76" s="299"/>
      <c r="K76" s="301"/>
      <c r="L76" s="302"/>
      <c r="M76" s="301" t="s">
        <v>241</v>
      </c>
      <c r="N76" s="303"/>
      <c r="O76" s="302">
        <v>42985</v>
      </c>
      <c r="P76" s="259"/>
      <c r="X76" s="84" t="s">
        <v>94</v>
      </c>
      <c r="Y76" s="97">
        <f>COUNTIFS($B:$B,"WINFIELD",$C:$C,"USCCB")</f>
        <v>0</v>
      </c>
      <c r="Z76" s="97"/>
      <c r="AA76" s="97"/>
      <c r="AB76" s="97"/>
      <c r="AC76" s="97"/>
      <c r="AD76" s="97"/>
    </row>
    <row r="77" spans="1:169" ht="15" customHeight="1" thickBot="1" x14ac:dyDescent="0.3">
      <c r="A77" s="304">
        <v>75</v>
      </c>
      <c r="B77" s="299" t="s">
        <v>8</v>
      </c>
      <c r="C77" s="300" t="s">
        <v>249</v>
      </c>
      <c r="D77" s="299"/>
      <c r="E77" s="301"/>
      <c r="F77" s="301"/>
      <c r="G77" s="301"/>
      <c r="H77" s="299"/>
      <c r="I77" s="299"/>
      <c r="J77" s="299"/>
      <c r="K77" s="301"/>
      <c r="L77" s="302"/>
      <c r="M77" s="301" t="s">
        <v>241</v>
      </c>
      <c r="N77" s="303"/>
      <c r="O77" s="302">
        <v>42985</v>
      </c>
      <c r="P77" s="259"/>
      <c r="X77" s="84" t="s">
        <v>39</v>
      </c>
      <c r="Y77" s="97">
        <f>COUNTIFS($B:$B,"YORK",$C:$C,"USCCB")</f>
        <v>0</v>
      </c>
      <c r="Z77" s="97"/>
      <c r="AA77" s="97"/>
      <c r="AB77" s="97"/>
      <c r="AC77" s="97"/>
      <c r="AD77" s="97"/>
    </row>
    <row r="78" spans="1:169" ht="15" customHeight="1" x14ac:dyDescent="0.25">
      <c r="A78" s="304">
        <v>76</v>
      </c>
      <c r="B78" s="299" t="s">
        <v>8</v>
      </c>
      <c r="C78" s="300" t="s">
        <v>249</v>
      </c>
      <c r="D78" s="299"/>
      <c r="E78" s="301"/>
      <c r="F78" s="301"/>
      <c r="G78" s="301"/>
      <c r="H78" s="299"/>
      <c r="I78" s="299"/>
      <c r="J78" s="299"/>
      <c r="K78" s="301"/>
      <c r="L78" s="302"/>
      <c r="M78" s="301" t="s">
        <v>159</v>
      </c>
      <c r="N78" s="303"/>
      <c r="O78" s="302">
        <v>42992</v>
      </c>
      <c r="P78" s="259"/>
      <c r="Y78" s="97"/>
      <c r="Z78" s="97"/>
      <c r="AA78" s="97"/>
      <c r="AB78" s="97"/>
      <c r="AC78" s="97"/>
      <c r="AD78" s="97"/>
    </row>
    <row r="79" spans="1:169" ht="15" customHeight="1" x14ac:dyDescent="0.25">
      <c r="A79" s="304">
        <v>77</v>
      </c>
      <c r="B79" s="299" t="s">
        <v>8</v>
      </c>
      <c r="C79" s="300" t="s">
        <v>249</v>
      </c>
      <c r="D79" s="299"/>
      <c r="E79" s="301"/>
      <c r="F79" s="301"/>
      <c r="G79" s="301"/>
      <c r="H79" s="299"/>
      <c r="I79" s="299"/>
      <c r="J79" s="299"/>
      <c r="K79" s="301"/>
      <c r="L79" s="302"/>
      <c r="M79" s="301" t="s">
        <v>218</v>
      </c>
      <c r="N79" s="303"/>
      <c r="O79" s="302">
        <v>42992</v>
      </c>
      <c r="P79" s="259"/>
      <c r="Y79" s="97"/>
      <c r="Z79" s="97"/>
      <c r="AA79" s="97"/>
      <c r="AB79" s="97"/>
      <c r="AC79" s="97"/>
      <c r="AD79" s="97"/>
    </row>
    <row r="80" spans="1:169" ht="15" customHeight="1" thickBot="1" x14ac:dyDescent="0.3">
      <c r="A80" s="304">
        <v>78</v>
      </c>
      <c r="B80" s="299" t="s">
        <v>8</v>
      </c>
      <c r="C80" s="300" t="s">
        <v>249</v>
      </c>
      <c r="D80" s="299"/>
      <c r="E80" s="301"/>
      <c r="F80" s="301"/>
      <c r="G80" s="301"/>
      <c r="H80" s="299"/>
      <c r="I80" s="299"/>
      <c r="J80" s="299"/>
      <c r="K80" s="301"/>
      <c r="L80" s="302"/>
      <c r="M80" s="301" t="s">
        <v>218</v>
      </c>
      <c r="N80" s="303"/>
      <c r="O80" s="302">
        <v>42992</v>
      </c>
      <c r="P80" s="259"/>
      <c r="Y80" s="97"/>
      <c r="Z80" s="97"/>
      <c r="AA80" s="97"/>
      <c r="AB80" s="97"/>
      <c r="AC80" s="97"/>
      <c r="AD80" s="97"/>
    </row>
    <row r="81" spans="1:30" ht="15" customHeight="1" thickBot="1" x14ac:dyDescent="0.3">
      <c r="A81" s="304">
        <v>79</v>
      </c>
      <c r="B81" s="299" t="s">
        <v>9</v>
      </c>
      <c r="C81" s="300" t="s">
        <v>3</v>
      </c>
      <c r="D81" s="299"/>
      <c r="E81" s="301"/>
      <c r="F81" s="301"/>
      <c r="G81" s="301"/>
      <c r="H81" s="299"/>
      <c r="I81" s="299"/>
      <c r="J81" s="299"/>
      <c r="K81" s="301"/>
      <c r="L81" s="302"/>
      <c r="M81" s="301" t="s">
        <v>136</v>
      </c>
      <c r="N81" s="303"/>
      <c r="O81" s="302">
        <v>42999</v>
      </c>
      <c r="P81" s="259"/>
      <c r="X81" s="76" t="s">
        <v>59</v>
      </c>
      <c r="Y81" s="97"/>
      <c r="Z81" s="97"/>
      <c r="AA81" s="97"/>
      <c r="AB81" s="97"/>
      <c r="AC81" s="97"/>
      <c r="AD81" s="97"/>
    </row>
    <row r="82" spans="1:30" ht="15" customHeight="1" thickBot="1" x14ac:dyDescent="0.3">
      <c r="A82" s="304">
        <v>80</v>
      </c>
      <c r="B82" s="299" t="s">
        <v>9</v>
      </c>
      <c r="C82" s="300" t="s">
        <v>3</v>
      </c>
      <c r="D82" s="299"/>
      <c r="E82" s="301"/>
      <c r="F82" s="301"/>
      <c r="G82" s="301"/>
      <c r="H82" s="299"/>
      <c r="I82" s="299"/>
      <c r="J82" s="299"/>
      <c r="K82" s="301"/>
      <c r="L82" s="302"/>
      <c r="M82" s="301" t="s">
        <v>136</v>
      </c>
      <c r="N82" s="303"/>
      <c r="O82" s="302">
        <v>42999</v>
      </c>
      <c r="P82" s="259"/>
      <c r="X82" s="84" t="s">
        <v>66</v>
      </c>
      <c r="Y82" s="97">
        <f>COUNTIFS($B:$B,"ELIZABETHTOWN",$C:$C,"CWS ")</f>
        <v>0</v>
      </c>
      <c r="Z82" s="97"/>
      <c r="AA82" s="97"/>
      <c r="AB82" s="97"/>
      <c r="AC82" s="97"/>
      <c r="AD82" s="97"/>
    </row>
    <row r="83" spans="1:30" ht="15" customHeight="1" thickBot="1" x14ac:dyDescent="0.3">
      <c r="A83" s="304">
        <v>81</v>
      </c>
      <c r="B83" s="299" t="s">
        <v>9</v>
      </c>
      <c r="C83" s="300" t="s">
        <v>3</v>
      </c>
      <c r="D83" s="299"/>
      <c r="E83" s="301"/>
      <c r="F83" s="301"/>
      <c r="G83" s="301"/>
      <c r="H83" s="299"/>
      <c r="I83" s="299"/>
      <c r="J83" s="299"/>
      <c r="K83" s="301"/>
      <c r="L83" s="302"/>
      <c r="M83" s="301" t="s">
        <v>136</v>
      </c>
      <c r="N83" s="303"/>
      <c r="O83" s="302">
        <v>42999</v>
      </c>
      <c r="P83" s="259"/>
      <c r="X83" s="84" t="s">
        <v>67</v>
      </c>
      <c r="Y83" s="97">
        <f>COUNTIFS($B:$B,"GETTYSBURG",$C:$C,"CWS ")</f>
        <v>0</v>
      </c>
      <c r="Z83" s="97"/>
      <c r="AA83" s="97"/>
      <c r="AB83" s="97"/>
      <c r="AC83" s="97"/>
      <c r="AD83" s="97"/>
    </row>
    <row r="84" spans="1:30" ht="15" customHeight="1" thickBot="1" x14ac:dyDescent="0.3">
      <c r="A84" s="304">
        <v>82</v>
      </c>
      <c r="B84" s="299" t="s">
        <v>9</v>
      </c>
      <c r="C84" s="300" t="s">
        <v>3</v>
      </c>
      <c r="D84" s="299"/>
      <c r="E84" s="301"/>
      <c r="F84" s="301"/>
      <c r="G84" s="301"/>
      <c r="H84" s="299"/>
      <c r="I84" s="299"/>
      <c r="J84" s="299"/>
      <c r="K84" s="301"/>
      <c r="L84" s="302"/>
      <c r="M84" s="301" t="s">
        <v>136</v>
      </c>
      <c r="N84" s="303"/>
      <c r="O84" s="302">
        <v>42999</v>
      </c>
      <c r="P84" s="259"/>
      <c r="X84" s="84" t="s">
        <v>6</v>
      </c>
      <c r="Y84" s="97">
        <f>COUNTIFS($B:$B,"HARRISBURG",$C:$C,"CWS ")</f>
        <v>0</v>
      </c>
      <c r="Z84" s="97"/>
      <c r="AA84" s="97"/>
      <c r="AB84" s="97"/>
      <c r="AC84" s="97"/>
      <c r="AD84" s="97"/>
    </row>
    <row r="85" spans="1:30" ht="15" customHeight="1" thickBot="1" x14ac:dyDescent="0.3">
      <c r="A85" s="304">
        <v>83</v>
      </c>
      <c r="B85" s="299" t="s">
        <v>9</v>
      </c>
      <c r="C85" s="300" t="s">
        <v>3</v>
      </c>
      <c r="D85" s="299"/>
      <c r="E85" s="301"/>
      <c r="F85" s="301"/>
      <c r="G85" s="301"/>
      <c r="H85" s="299"/>
      <c r="I85" s="299"/>
      <c r="J85" s="299"/>
      <c r="K85" s="301"/>
      <c r="L85" s="302"/>
      <c r="M85" s="301" t="s">
        <v>136</v>
      </c>
      <c r="N85" s="303"/>
      <c r="O85" s="302">
        <v>42999</v>
      </c>
      <c r="P85" s="259"/>
      <c r="X85" s="84" t="s">
        <v>8</v>
      </c>
      <c r="Y85" s="97">
        <f>COUNTIFS($B:$B,"LANCASTER",$C:$C,"CWS ")</f>
        <v>26</v>
      </c>
      <c r="Z85" s="97"/>
      <c r="AA85" s="97"/>
      <c r="AB85" s="97"/>
      <c r="AC85" s="97"/>
      <c r="AD85" s="97"/>
    </row>
    <row r="86" spans="1:30" ht="15" customHeight="1" thickBot="1" x14ac:dyDescent="0.3">
      <c r="A86" s="304">
        <v>84</v>
      </c>
      <c r="B86" s="299" t="s">
        <v>9</v>
      </c>
      <c r="C86" s="300" t="s">
        <v>3</v>
      </c>
      <c r="D86" s="299"/>
      <c r="E86" s="301"/>
      <c r="F86" s="301"/>
      <c r="G86" s="301"/>
      <c r="H86" s="299"/>
      <c r="I86" s="299"/>
      <c r="J86" s="299"/>
      <c r="K86" s="301"/>
      <c r="L86" s="302"/>
      <c r="M86" s="301" t="s">
        <v>136</v>
      </c>
      <c r="N86" s="303"/>
      <c r="O86" s="302">
        <v>42999</v>
      </c>
      <c r="P86" s="259"/>
      <c r="X86" s="84" t="s">
        <v>128</v>
      </c>
      <c r="Y86" s="97">
        <f>COUNTIFS($B:$B,"LEOLA",$C:$C,"CWS ")</f>
        <v>0</v>
      </c>
      <c r="Z86" s="97"/>
      <c r="AA86" s="97"/>
      <c r="AB86" s="97"/>
      <c r="AC86" s="97"/>
      <c r="AD86" s="97"/>
    </row>
    <row r="87" spans="1:30" ht="15" customHeight="1" thickBot="1" x14ac:dyDescent="0.3">
      <c r="A87" s="304">
        <v>85</v>
      </c>
      <c r="B87" s="299" t="s">
        <v>9</v>
      </c>
      <c r="C87" s="300" t="s">
        <v>3</v>
      </c>
      <c r="D87" s="299"/>
      <c r="E87" s="301"/>
      <c r="F87" s="301"/>
      <c r="G87" s="301"/>
      <c r="H87" s="299"/>
      <c r="I87" s="299"/>
      <c r="J87" s="299"/>
      <c r="K87" s="301"/>
      <c r="L87" s="302"/>
      <c r="M87" s="301" t="s">
        <v>136</v>
      </c>
      <c r="N87" s="303"/>
      <c r="O87" s="302">
        <v>42999</v>
      </c>
      <c r="P87" s="259"/>
      <c r="X87" s="84" t="s">
        <v>72</v>
      </c>
      <c r="Y87" s="97">
        <f>COUNTIFS($B:$B,"LITITZ",$C:$C,"CWS ")</f>
        <v>0</v>
      </c>
      <c r="Z87" s="97"/>
      <c r="AA87" s="97"/>
      <c r="AB87" s="97"/>
      <c r="AC87" s="97"/>
      <c r="AD87" s="97"/>
    </row>
    <row r="88" spans="1:30" ht="15" customHeight="1" thickBot="1" x14ac:dyDescent="0.3">
      <c r="A88" s="304">
        <v>86</v>
      </c>
      <c r="B88" s="299" t="s">
        <v>9</v>
      </c>
      <c r="C88" s="300" t="s">
        <v>3</v>
      </c>
      <c r="D88" s="299"/>
      <c r="E88" s="301"/>
      <c r="F88" s="301"/>
      <c r="G88" s="301"/>
      <c r="H88" s="299"/>
      <c r="I88" s="299"/>
      <c r="J88" s="299"/>
      <c r="K88" s="301"/>
      <c r="L88" s="302"/>
      <c r="M88" s="301" t="s">
        <v>136</v>
      </c>
      <c r="N88" s="303"/>
      <c r="O88" s="302">
        <v>42999</v>
      </c>
      <c r="P88" s="259"/>
      <c r="X88" s="84" t="s">
        <v>9</v>
      </c>
      <c r="Y88" s="97">
        <f>COUNTIFS($B:$B,"MECHANICSBURG",$C:$C,"CWS ")</f>
        <v>0</v>
      </c>
      <c r="Z88" s="97"/>
      <c r="AA88" s="97"/>
      <c r="AB88" s="97"/>
      <c r="AC88" s="97"/>
      <c r="AD88" s="97"/>
    </row>
    <row r="89" spans="1:30" ht="15" customHeight="1" thickBot="1" x14ac:dyDescent="0.3">
      <c r="A89" s="304">
        <v>87</v>
      </c>
      <c r="B89" s="299" t="s">
        <v>9</v>
      </c>
      <c r="C89" s="300" t="s">
        <v>3</v>
      </c>
      <c r="D89" s="299"/>
      <c r="E89" s="301"/>
      <c r="F89" s="301"/>
      <c r="G89" s="301"/>
      <c r="H89" s="299"/>
      <c r="I89" s="299"/>
      <c r="J89" s="299"/>
      <c r="K89" s="301"/>
      <c r="L89" s="302"/>
      <c r="M89" s="301" t="s">
        <v>136</v>
      </c>
      <c r="N89" s="303"/>
      <c r="O89" s="302">
        <v>42999</v>
      </c>
      <c r="P89" s="259"/>
      <c r="X89" s="84" t="s">
        <v>73</v>
      </c>
      <c r="Y89" s="97">
        <f>COUNTIFS($B:$B,"MOUNT JOY",$C:$C,"CWS ")</f>
        <v>0</v>
      </c>
      <c r="Z89" s="97"/>
      <c r="AA89" s="97"/>
      <c r="AB89" s="97"/>
      <c r="AC89" s="97"/>
      <c r="AD89" s="97"/>
    </row>
    <row r="90" spans="1:30" ht="15" customHeight="1" thickBot="1" x14ac:dyDescent="0.3">
      <c r="A90" s="304">
        <v>88</v>
      </c>
      <c r="B90" s="299" t="s">
        <v>10</v>
      </c>
      <c r="C90" s="300" t="s">
        <v>3</v>
      </c>
      <c r="D90" s="299"/>
      <c r="E90" s="301"/>
      <c r="F90" s="301"/>
      <c r="G90" s="301"/>
      <c r="H90" s="299"/>
      <c r="I90" s="299"/>
      <c r="J90" s="299"/>
      <c r="K90" s="301"/>
      <c r="L90" s="302"/>
      <c r="M90" s="301" t="s">
        <v>175</v>
      </c>
      <c r="N90" s="303"/>
      <c r="O90" s="302">
        <v>42998</v>
      </c>
      <c r="P90" s="259"/>
      <c r="X90" s="84" t="s">
        <v>39</v>
      </c>
      <c r="Y90" s="97">
        <f>COUNTIFS($B:$B,"YORK",$C:$C,"CWS ")</f>
        <v>0</v>
      </c>
      <c r="Z90" s="97"/>
      <c r="AA90" s="97"/>
      <c r="AB90" s="97"/>
      <c r="AC90" s="97"/>
      <c r="AD90" s="97"/>
    </row>
    <row r="91" spans="1:30" ht="15" customHeight="1" thickBot="1" x14ac:dyDescent="0.3">
      <c r="A91" s="304">
        <v>89</v>
      </c>
      <c r="B91" s="299" t="s">
        <v>10</v>
      </c>
      <c r="C91" s="300" t="s">
        <v>3</v>
      </c>
      <c r="D91" s="299"/>
      <c r="E91" s="301"/>
      <c r="F91" s="301"/>
      <c r="G91" s="301"/>
      <c r="H91" s="299"/>
      <c r="I91" s="299"/>
      <c r="J91" s="299"/>
      <c r="K91" s="301"/>
      <c r="L91" s="302"/>
      <c r="M91" s="301" t="s">
        <v>175</v>
      </c>
      <c r="N91" s="303"/>
      <c r="O91" s="302">
        <v>42998</v>
      </c>
      <c r="P91" s="259"/>
      <c r="X91" s="84" t="s">
        <v>74</v>
      </c>
      <c r="Y91" s="97">
        <f>COUNTIFS($B:$B,"EPHRATA",$C:$C,"CWS ")</f>
        <v>0</v>
      </c>
      <c r="Z91" s="97"/>
      <c r="AA91" s="97"/>
      <c r="AB91" s="97"/>
      <c r="AC91" s="97"/>
      <c r="AD91" s="97"/>
    </row>
    <row r="92" spans="1:30" ht="15" customHeight="1" x14ac:dyDescent="0.25">
      <c r="A92" s="304">
        <v>90</v>
      </c>
      <c r="B92" s="299" t="s">
        <v>10</v>
      </c>
      <c r="C92" s="300" t="s">
        <v>3</v>
      </c>
      <c r="D92" s="299"/>
      <c r="E92" s="301"/>
      <c r="F92" s="301"/>
      <c r="G92" s="301"/>
      <c r="H92" s="299"/>
      <c r="I92" s="299"/>
      <c r="J92" s="299"/>
      <c r="K92" s="301"/>
      <c r="L92" s="302"/>
      <c r="M92" s="301" t="s">
        <v>175</v>
      </c>
      <c r="N92" s="303"/>
      <c r="O92" s="302">
        <v>42998</v>
      </c>
      <c r="P92" s="259"/>
      <c r="X92" s="104"/>
      <c r="Y92" s="97"/>
      <c r="Z92" s="97"/>
      <c r="AA92" s="97"/>
      <c r="AB92" s="97"/>
      <c r="AC92" s="97"/>
      <c r="AD92" s="97"/>
    </row>
    <row r="93" spans="1:30" ht="15" customHeight="1" x14ac:dyDescent="0.25">
      <c r="A93" s="304">
        <v>91</v>
      </c>
      <c r="B93" s="299" t="s">
        <v>10</v>
      </c>
      <c r="C93" s="300" t="s">
        <v>3</v>
      </c>
      <c r="D93" s="299"/>
      <c r="E93" s="301"/>
      <c r="F93" s="301"/>
      <c r="G93" s="301"/>
      <c r="H93" s="299"/>
      <c r="I93" s="299"/>
      <c r="J93" s="299"/>
      <c r="K93" s="301"/>
      <c r="L93" s="302"/>
      <c r="M93" s="301" t="s">
        <v>175</v>
      </c>
      <c r="N93" s="303"/>
      <c r="O93" s="302">
        <v>42998</v>
      </c>
      <c r="P93" s="259"/>
      <c r="X93" s="105"/>
      <c r="Y93" s="97"/>
      <c r="Z93" s="97"/>
      <c r="AA93" s="97"/>
      <c r="AB93" s="97"/>
      <c r="AC93" s="97"/>
      <c r="AD93" s="97"/>
    </row>
    <row r="94" spans="1:30" ht="15" customHeight="1" x14ac:dyDescent="0.25">
      <c r="A94" s="304">
        <v>92</v>
      </c>
      <c r="B94" s="299" t="s">
        <v>10</v>
      </c>
      <c r="C94" s="300" t="s">
        <v>3</v>
      </c>
      <c r="D94" s="299"/>
      <c r="E94" s="301"/>
      <c r="F94" s="301"/>
      <c r="G94" s="301"/>
      <c r="H94" s="299"/>
      <c r="I94" s="299"/>
      <c r="J94" s="299"/>
      <c r="K94" s="301"/>
      <c r="L94" s="302"/>
      <c r="M94" s="301" t="s">
        <v>175</v>
      </c>
      <c r="N94" s="303"/>
      <c r="O94" s="302">
        <v>42998</v>
      </c>
      <c r="P94" s="259"/>
      <c r="Y94" s="97"/>
      <c r="Z94" s="97"/>
      <c r="AA94" s="97"/>
      <c r="AB94" s="97"/>
      <c r="AC94" s="97"/>
      <c r="AD94" s="97"/>
    </row>
    <row r="95" spans="1:30" ht="15" customHeight="1" x14ac:dyDescent="0.25">
      <c r="A95" s="304">
        <v>93</v>
      </c>
      <c r="B95" s="299" t="s">
        <v>10</v>
      </c>
      <c r="C95" s="300" t="s">
        <v>3</v>
      </c>
      <c r="D95" s="299"/>
      <c r="E95" s="301"/>
      <c r="F95" s="301"/>
      <c r="G95" s="301"/>
      <c r="H95" s="299"/>
      <c r="I95" s="299"/>
      <c r="J95" s="299"/>
      <c r="K95" s="301"/>
      <c r="L95" s="302"/>
      <c r="M95" s="301" t="s">
        <v>175</v>
      </c>
      <c r="N95" s="303"/>
      <c r="O95" s="302">
        <v>42998</v>
      </c>
      <c r="P95" s="259"/>
      <c r="Y95" s="97"/>
      <c r="Z95" s="97"/>
      <c r="AA95" s="97"/>
      <c r="AB95" s="97"/>
      <c r="AC95" s="97"/>
      <c r="AD95" s="97"/>
    </row>
    <row r="96" spans="1:30" ht="15" customHeight="1" x14ac:dyDescent="0.25">
      <c r="A96" s="304">
        <v>94</v>
      </c>
      <c r="B96" s="299" t="s">
        <v>10</v>
      </c>
      <c r="C96" s="300" t="s">
        <v>3</v>
      </c>
      <c r="D96" s="299"/>
      <c r="E96" s="301"/>
      <c r="F96" s="301"/>
      <c r="G96" s="301"/>
      <c r="H96" s="299"/>
      <c r="I96" s="299"/>
      <c r="J96" s="299"/>
      <c r="K96" s="301"/>
      <c r="L96" s="302"/>
      <c r="M96" s="301" t="s">
        <v>175</v>
      </c>
      <c r="N96" s="303"/>
      <c r="O96" s="302">
        <v>42998</v>
      </c>
      <c r="P96" s="259"/>
      <c r="Y96" s="97"/>
      <c r="Z96" s="97"/>
      <c r="AA96" s="97"/>
      <c r="AB96" s="97"/>
      <c r="AC96" s="97"/>
      <c r="AD96" s="97"/>
    </row>
    <row r="97" spans="1:30" ht="15" customHeight="1" thickBot="1" x14ac:dyDescent="0.3">
      <c r="A97" s="304">
        <v>95</v>
      </c>
      <c r="B97" s="299" t="s">
        <v>10</v>
      </c>
      <c r="C97" s="300" t="s">
        <v>3</v>
      </c>
      <c r="D97" s="299"/>
      <c r="E97" s="301"/>
      <c r="F97" s="301"/>
      <c r="G97" s="301"/>
      <c r="H97" s="299"/>
      <c r="I97" s="299"/>
      <c r="J97" s="299"/>
      <c r="K97" s="301"/>
      <c r="L97" s="302"/>
      <c r="M97" s="301" t="s">
        <v>175</v>
      </c>
      <c r="N97" s="303"/>
      <c r="O97" s="302">
        <v>42998</v>
      </c>
      <c r="P97" s="259"/>
      <c r="Y97" s="97"/>
      <c r="Z97" s="97"/>
      <c r="AA97" s="97"/>
      <c r="AB97" s="97"/>
      <c r="AC97" s="97"/>
      <c r="AD97" s="97"/>
    </row>
    <row r="98" spans="1:30" ht="15" customHeight="1" thickBot="1" x14ac:dyDescent="0.3">
      <c r="A98" s="304">
        <v>96</v>
      </c>
      <c r="B98" s="299" t="s">
        <v>10</v>
      </c>
      <c r="C98" s="300" t="s">
        <v>5</v>
      </c>
      <c r="D98" s="299"/>
      <c r="E98" s="301"/>
      <c r="F98" s="301"/>
      <c r="G98" s="301"/>
      <c r="H98" s="299"/>
      <c r="I98" s="299"/>
      <c r="J98" s="299"/>
      <c r="K98" s="301"/>
      <c r="L98" s="302"/>
      <c r="M98" s="301" t="s">
        <v>150</v>
      </c>
      <c r="N98" s="303"/>
      <c r="O98" s="302">
        <v>42984</v>
      </c>
      <c r="P98" s="259"/>
      <c r="X98" s="76" t="s">
        <v>1</v>
      </c>
      <c r="Y98" s="97"/>
      <c r="Z98" s="97"/>
      <c r="AA98" s="97"/>
      <c r="AB98" s="97"/>
      <c r="AC98" s="97"/>
      <c r="AD98" s="97"/>
    </row>
    <row r="99" spans="1:30" ht="15" customHeight="1" thickBot="1" x14ac:dyDescent="0.3">
      <c r="A99" s="304">
        <v>97</v>
      </c>
      <c r="B99" s="299" t="s">
        <v>10</v>
      </c>
      <c r="C99" s="300" t="s">
        <v>5</v>
      </c>
      <c r="D99" s="299"/>
      <c r="E99" s="301"/>
      <c r="F99" s="301"/>
      <c r="G99" s="301"/>
      <c r="H99" s="299"/>
      <c r="I99" s="299"/>
      <c r="J99" s="299"/>
      <c r="K99" s="301"/>
      <c r="L99" s="302"/>
      <c r="M99" s="301" t="s">
        <v>150</v>
      </c>
      <c r="N99" s="303"/>
      <c r="O99" s="302">
        <v>42984</v>
      </c>
      <c r="P99" s="259"/>
      <c r="X99" s="84" t="s">
        <v>8</v>
      </c>
      <c r="Y99" s="97">
        <f>COUNTIFS($B:$B,"LANCASTER",$C:$C,"LIRS")</f>
        <v>12</v>
      </c>
      <c r="Z99" s="97"/>
      <c r="AA99" s="97"/>
      <c r="AB99" s="97"/>
      <c r="AC99" s="97"/>
      <c r="AD99" s="97"/>
    </row>
    <row r="100" spans="1:30" ht="15" customHeight="1" thickBot="1" x14ac:dyDescent="0.3">
      <c r="A100" s="304">
        <v>98</v>
      </c>
      <c r="B100" s="299" t="s">
        <v>10</v>
      </c>
      <c r="C100" s="300" t="s">
        <v>5</v>
      </c>
      <c r="D100" s="299"/>
      <c r="E100" s="301"/>
      <c r="F100" s="301"/>
      <c r="G100" s="301"/>
      <c r="H100" s="299"/>
      <c r="I100" s="299"/>
      <c r="J100" s="299"/>
      <c r="K100" s="301"/>
      <c r="L100" s="302"/>
      <c r="M100" s="301" t="s">
        <v>150</v>
      </c>
      <c r="N100" s="303"/>
      <c r="O100" s="302">
        <v>42984</v>
      </c>
      <c r="P100" s="259"/>
      <c r="X100" s="119" t="s">
        <v>251</v>
      </c>
      <c r="Y100" s="119"/>
      <c r="Z100" s="97"/>
      <c r="AA100" s="97"/>
      <c r="AB100" s="97"/>
      <c r="AC100" s="97"/>
      <c r="AD100" s="97"/>
    </row>
    <row r="101" spans="1:30" ht="15" customHeight="1" thickBot="1" x14ac:dyDescent="0.3">
      <c r="A101" s="304">
        <v>99</v>
      </c>
      <c r="B101" s="299" t="s">
        <v>10</v>
      </c>
      <c r="C101" s="300" t="s">
        <v>11</v>
      </c>
      <c r="D101" s="299"/>
      <c r="E101" s="301"/>
      <c r="F101" s="301"/>
      <c r="G101" s="301"/>
      <c r="H101" s="299"/>
      <c r="I101" s="299"/>
      <c r="J101" s="299"/>
      <c r="K101" s="301"/>
      <c r="L101" s="302"/>
      <c r="M101" s="301" t="s">
        <v>150</v>
      </c>
      <c r="N101" s="303"/>
      <c r="O101" s="302">
        <v>42990</v>
      </c>
      <c r="P101" s="259"/>
      <c r="Y101" s="97"/>
      <c r="Z101" s="119">
        <f>SUM(Y56:Y99)</f>
        <v>79</v>
      </c>
      <c r="AA101" s="132"/>
      <c r="AB101" s="132"/>
      <c r="AC101" s="132"/>
      <c r="AD101" s="132"/>
    </row>
    <row r="102" spans="1:30" ht="15" customHeight="1" x14ac:dyDescent="0.25">
      <c r="A102" s="304">
        <v>100</v>
      </c>
      <c r="B102" s="299" t="s">
        <v>10</v>
      </c>
      <c r="C102" s="300" t="s">
        <v>11</v>
      </c>
      <c r="D102" s="299"/>
      <c r="E102" s="301"/>
      <c r="F102" s="301"/>
      <c r="G102" s="301"/>
      <c r="H102" s="299"/>
      <c r="I102" s="299"/>
      <c r="J102" s="299"/>
      <c r="K102" s="301"/>
      <c r="L102" s="302"/>
      <c r="M102" s="301" t="s">
        <v>212</v>
      </c>
      <c r="N102" s="303"/>
      <c r="O102" s="302">
        <v>42990</v>
      </c>
      <c r="P102" s="259"/>
      <c r="Y102" s="97"/>
      <c r="Z102" s="97"/>
      <c r="AA102" s="97"/>
      <c r="AB102" s="97"/>
      <c r="AC102" s="97"/>
      <c r="AD102" s="97"/>
    </row>
    <row r="103" spans="1:30" ht="15" customHeight="1" x14ac:dyDescent="0.25">
      <c r="A103" s="304">
        <v>101</v>
      </c>
      <c r="B103" s="299" t="s">
        <v>10</v>
      </c>
      <c r="C103" s="300" t="s">
        <v>11</v>
      </c>
      <c r="D103" s="299"/>
      <c r="E103" s="301"/>
      <c r="F103" s="301"/>
      <c r="G103" s="301"/>
      <c r="H103" s="299"/>
      <c r="I103" s="299"/>
      <c r="J103" s="299"/>
      <c r="K103" s="301"/>
      <c r="L103" s="302"/>
      <c r="M103" s="301" t="s">
        <v>150</v>
      </c>
      <c r="N103" s="303"/>
      <c r="O103" s="302">
        <v>42990</v>
      </c>
      <c r="P103" s="259"/>
      <c r="Y103" s="97"/>
      <c r="Z103" s="97"/>
      <c r="AA103" s="97"/>
      <c r="AB103" s="97"/>
      <c r="AC103" s="97"/>
      <c r="AD103" s="97"/>
    </row>
    <row r="104" spans="1:30" ht="15" customHeight="1" x14ac:dyDescent="0.25">
      <c r="A104" s="304">
        <v>102</v>
      </c>
      <c r="B104" s="299" t="s">
        <v>10</v>
      </c>
      <c r="C104" s="300" t="s">
        <v>11</v>
      </c>
      <c r="D104" s="299"/>
      <c r="E104" s="301"/>
      <c r="F104" s="301"/>
      <c r="G104" s="301"/>
      <c r="H104" s="299"/>
      <c r="I104" s="299"/>
      <c r="J104" s="299"/>
      <c r="K104" s="301"/>
      <c r="L104" s="302"/>
      <c r="M104" s="301" t="s">
        <v>150</v>
      </c>
      <c r="N104" s="303"/>
      <c r="O104" s="302">
        <v>42990</v>
      </c>
      <c r="P104" s="259"/>
      <c r="Y104" s="97"/>
    </row>
    <row r="105" spans="1:30" ht="15" customHeight="1" x14ac:dyDescent="0.25">
      <c r="A105" s="304">
        <v>103</v>
      </c>
      <c r="B105" s="299" t="s">
        <v>10</v>
      </c>
      <c r="C105" s="300" t="s">
        <v>5</v>
      </c>
      <c r="D105" s="299"/>
      <c r="E105" s="301"/>
      <c r="F105" s="301"/>
      <c r="G105" s="301"/>
      <c r="H105" s="299"/>
      <c r="I105" s="299"/>
      <c r="J105" s="299"/>
      <c r="K105" s="301"/>
      <c r="L105" s="302"/>
      <c r="M105" s="301" t="s">
        <v>333</v>
      </c>
      <c r="N105" s="303"/>
      <c r="O105" s="302">
        <v>43006</v>
      </c>
      <c r="P105" s="259"/>
      <c r="Y105" s="97"/>
      <c r="Z105" s="97"/>
      <c r="AA105" s="97"/>
      <c r="AB105" s="97"/>
      <c r="AC105" s="97"/>
      <c r="AD105" s="97"/>
    </row>
    <row r="106" spans="1:30" ht="15" customHeight="1" thickBot="1" x14ac:dyDescent="0.3">
      <c r="A106" s="304">
        <v>104</v>
      </c>
      <c r="B106" s="299" t="s">
        <v>10</v>
      </c>
      <c r="C106" s="300" t="s">
        <v>5</v>
      </c>
      <c r="D106" s="299"/>
      <c r="E106" s="301"/>
      <c r="F106" s="301"/>
      <c r="G106" s="301"/>
      <c r="H106" s="299"/>
      <c r="I106" s="299"/>
      <c r="J106" s="299"/>
      <c r="K106" s="301"/>
      <c r="L106" s="302"/>
      <c r="M106" s="301" t="s">
        <v>333</v>
      </c>
      <c r="N106" s="303"/>
      <c r="O106" s="302">
        <v>43006</v>
      </c>
      <c r="P106" s="259"/>
      <c r="Y106" s="97"/>
      <c r="Z106" s="97"/>
      <c r="AA106" s="97"/>
      <c r="AB106" s="97"/>
      <c r="AC106" s="97"/>
      <c r="AD106" s="97"/>
    </row>
    <row r="107" spans="1:30" ht="15" customHeight="1" thickBot="1" x14ac:dyDescent="0.3">
      <c r="A107" s="304">
        <v>105</v>
      </c>
      <c r="B107" s="299" t="s">
        <v>10</v>
      </c>
      <c r="C107" s="300" t="s">
        <v>5</v>
      </c>
      <c r="D107" s="299"/>
      <c r="E107" s="301"/>
      <c r="F107" s="301"/>
      <c r="G107" s="301"/>
      <c r="H107" s="299"/>
      <c r="I107" s="299"/>
      <c r="J107" s="299"/>
      <c r="K107" s="301"/>
      <c r="L107" s="302"/>
      <c r="M107" s="301" t="s">
        <v>214</v>
      </c>
      <c r="N107" s="303"/>
      <c r="O107" s="302">
        <v>43004</v>
      </c>
      <c r="P107" s="259"/>
      <c r="X107" s="109" t="s">
        <v>57</v>
      </c>
      <c r="Y107" s="97"/>
      <c r="Z107" s="97"/>
      <c r="AA107" s="97"/>
      <c r="AB107" s="97"/>
      <c r="AC107" s="97"/>
      <c r="AD107" s="97"/>
    </row>
    <row r="108" spans="1:30" ht="15" customHeight="1" thickBot="1" x14ac:dyDescent="0.3">
      <c r="A108" s="304">
        <v>106</v>
      </c>
      <c r="B108" s="299" t="s">
        <v>12</v>
      </c>
      <c r="C108" s="300" t="s">
        <v>13</v>
      </c>
      <c r="D108" s="299"/>
      <c r="E108" s="301"/>
      <c r="F108" s="301"/>
      <c r="G108" s="301"/>
      <c r="H108" s="299"/>
      <c r="I108" s="299"/>
      <c r="J108" s="299"/>
      <c r="K108" s="301"/>
      <c r="L108" s="302"/>
      <c r="M108" s="301" t="s">
        <v>150</v>
      </c>
      <c r="N108" s="303"/>
      <c r="O108" s="302">
        <v>43005</v>
      </c>
      <c r="P108" s="259"/>
      <c r="X108" s="94"/>
      <c r="Y108" s="97"/>
      <c r="Z108" s="97"/>
      <c r="AA108" s="97"/>
      <c r="AB108" s="97"/>
      <c r="AC108" s="97"/>
      <c r="AD108" s="97"/>
    </row>
    <row r="109" spans="1:30" ht="15" customHeight="1" thickBot="1" x14ac:dyDescent="0.3">
      <c r="A109" s="304">
        <v>107</v>
      </c>
      <c r="B109" s="299" t="s">
        <v>12</v>
      </c>
      <c r="C109" s="300" t="s">
        <v>5</v>
      </c>
      <c r="D109" s="299"/>
      <c r="E109" s="301"/>
      <c r="F109" s="301"/>
      <c r="G109" s="301"/>
      <c r="H109" s="299"/>
      <c r="I109" s="299"/>
      <c r="J109" s="299"/>
      <c r="K109" s="301"/>
      <c r="L109" s="302"/>
      <c r="M109" s="301" t="s">
        <v>150</v>
      </c>
      <c r="N109" s="303"/>
      <c r="O109" s="302">
        <v>42985</v>
      </c>
      <c r="P109" s="259"/>
      <c r="X109" s="77" t="s">
        <v>11</v>
      </c>
      <c r="Y109" s="97"/>
      <c r="Z109" s="97"/>
      <c r="AA109" s="97"/>
      <c r="AB109" s="97"/>
      <c r="AC109" s="97"/>
      <c r="AD109" s="97"/>
    </row>
    <row r="110" spans="1:30" ht="15" customHeight="1" thickBot="1" x14ac:dyDescent="0.3">
      <c r="A110" s="304">
        <v>108</v>
      </c>
      <c r="B110" s="299" t="s">
        <v>12</v>
      </c>
      <c r="C110" s="300" t="s">
        <v>5</v>
      </c>
      <c r="D110" s="299"/>
      <c r="E110" s="301"/>
      <c r="F110" s="301"/>
      <c r="G110" s="301"/>
      <c r="H110" s="299"/>
      <c r="I110" s="299"/>
      <c r="J110" s="299"/>
      <c r="K110" s="301"/>
      <c r="L110" s="302"/>
      <c r="M110" s="301" t="s">
        <v>150</v>
      </c>
      <c r="N110" s="303"/>
      <c r="O110" s="302">
        <v>42985</v>
      </c>
      <c r="P110" s="259"/>
      <c r="X110" s="85" t="s">
        <v>10</v>
      </c>
      <c r="Y110" s="97">
        <f>COUNTIFS($B:$B,"PHILADELPHIA",$C:$C,"HIAS")</f>
        <v>4</v>
      </c>
      <c r="Z110" s="97"/>
      <c r="AA110" s="97"/>
      <c r="AB110" s="97"/>
      <c r="AC110" s="97"/>
      <c r="AD110" s="97"/>
    </row>
    <row r="111" spans="1:30" ht="15" customHeight="1" x14ac:dyDescent="0.25">
      <c r="A111" s="304">
        <v>109</v>
      </c>
      <c r="B111" s="299" t="s">
        <v>12</v>
      </c>
      <c r="C111" s="300" t="s">
        <v>13</v>
      </c>
      <c r="D111" s="299"/>
      <c r="E111" s="301"/>
      <c r="F111" s="301"/>
      <c r="G111" s="301"/>
      <c r="H111" s="299"/>
      <c r="I111" s="299"/>
      <c r="J111" s="299"/>
      <c r="K111" s="301"/>
      <c r="L111" s="302"/>
      <c r="M111" s="301" t="s">
        <v>150</v>
      </c>
      <c r="N111" s="303"/>
      <c r="O111" s="302">
        <v>42992</v>
      </c>
      <c r="P111" s="259"/>
      <c r="X111" s="104"/>
      <c r="Y111" s="97"/>
      <c r="Z111" s="97"/>
      <c r="AA111" s="97"/>
      <c r="AB111" s="97"/>
      <c r="AC111" s="97"/>
      <c r="AD111" s="97"/>
    </row>
    <row r="112" spans="1:30" ht="15" customHeight="1" x14ac:dyDescent="0.25">
      <c r="A112" s="304">
        <v>110</v>
      </c>
      <c r="B112" s="299" t="s">
        <v>12</v>
      </c>
      <c r="C112" s="300" t="s">
        <v>13</v>
      </c>
      <c r="D112" s="299"/>
      <c r="E112" s="301"/>
      <c r="F112" s="301"/>
      <c r="G112" s="301"/>
      <c r="H112" s="299"/>
      <c r="I112" s="299"/>
      <c r="J112" s="299"/>
      <c r="K112" s="301"/>
      <c r="L112" s="302"/>
      <c r="M112" s="301" t="s">
        <v>150</v>
      </c>
      <c r="N112" s="303"/>
      <c r="O112" s="302">
        <v>42992</v>
      </c>
      <c r="P112" s="259"/>
      <c r="X112" s="105"/>
      <c r="Y112" s="97"/>
      <c r="Z112" s="97"/>
      <c r="AA112" s="97"/>
      <c r="AB112" s="97"/>
      <c r="AC112" s="97"/>
      <c r="AD112" s="97"/>
    </row>
    <row r="113" spans="1:30" ht="15" customHeight="1" x14ac:dyDescent="0.25">
      <c r="A113" s="304">
        <v>111</v>
      </c>
      <c r="B113" s="299" t="s">
        <v>12</v>
      </c>
      <c r="C113" s="300" t="s">
        <v>5</v>
      </c>
      <c r="D113" s="299"/>
      <c r="E113" s="301"/>
      <c r="F113" s="301"/>
      <c r="G113" s="301"/>
      <c r="H113" s="299"/>
      <c r="I113" s="299"/>
      <c r="J113" s="299"/>
      <c r="K113" s="301"/>
      <c r="L113" s="302"/>
      <c r="M113" s="301" t="s">
        <v>150</v>
      </c>
      <c r="N113" s="303"/>
      <c r="O113" s="302">
        <v>42999</v>
      </c>
      <c r="P113" s="259"/>
      <c r="Y113" s="97"/>
      <c r="Z113" s="97"/>
      <c r="AA113" s="97"/>
      <c r="AB113" s="97"/>
      <c r="AC113" s="97"/>
      <c r="AD113" s="97"/>
    </row>
    <row r="114" spans="1:30" ht="15" customHeight="1" x14ac:dyDescent="0.25">
      <c r="A114" s="304">
        <v>112</v>
      </c>
      <c r="B114" s="299" t="s">
        <v>12</v>
      </c>
      <c r="C114" s="300" t="s">
        <v>5</v>
      </c>
      <c r="D114" s="299"/>
      <c r="E114" s="301"/>
      <c r="F114" s="301"/>
      <c r="G114" s="301"/>
      <c r="H114" s="299"/>
      <c r="I114" s="299"/>
      <c r="J114" s="299"/>
      <c r="K114" s="301"/>
      <c r="L114" s="302"/>
      <c r="M114" s="301" t="s">
        <v>150</v>
      </c>
      <c r="N114" s="303"/>
      <c r="O114" s="302">
        <v>42999</v>
      </c>
      <c r="P114" s="259"/>
      <c r="Y114" s="97"/>
      <c r="Z114" s="97"/>
      <c r="AA114" s="97"/>
      <c r="AB114" s="97"/>
      <c r="AC114" s="97"/>
      <c r="AD114" s="97"/>
    </row>
    <row r="115" spans="1:30" ht="15" customHeight="1" x14ac:dyDescent="0.25">
      <c r="A115" s="304">
        <v>113</v>
      </c>
      <c r="B115" s="299" t="s">
        <v>12</v>
      </c>
      <c r="C115" s="300" t="s">
        <v>5</v>
      </c>
      <c r="D115" s="299"/>
      <c r="E115" s="301"/>
      <c r="F115" s="301"/>
      <c r="G115" s="301"/>
      <c r="H115" s="299"/>
      <c r="I115" s="299"/>
      <c r="J115" s="299"/>
      <c r="K115" s="301"/>
      <c r="L115" s="302"/>
      <c r="M115" s="301" t="s">
        <v>150</v>
      </c>
      <c r="N115" s="303"/>
      <c r="O115" s="302">
        <v>42999</v>
      </c>
      <c r="P115" s="259"/>
      <c r="Y115" s="97"/>
      <c r="Z115" s="97"/>
      <c r="AA115" s="97"/>
      <c r="AB115" s="97"/>
      <c r="AC115" s="97"/>
      <c r="AD115" s="97"/>
    </row>
    <row r="116" spans="1:30" ht="15" customHeight="1" thickBot="1" x14ac:dyDescent="0.3">
      <c r="A116" s="304">
        <v>114</v>
      </c>
      <c r="B116" s="299" t="s">
        <v>12</v>
      </c>
      <c r="C116" s="300" t="s">
        <v>11</v>
      </c>
      <c r="D116" s="299"/>
      <c r="E116" s="301"/>
      <c r="F116" s="301"/>
      <c r="G116" s="301"/>
      <c r="H116" s="299"/>
      <c r="I116" s="299"/>
      <c r="J116" s="299"/>
      <c r="K116" s="301"/>
      <c r="L116" s="302"/>
      <c r="M116" s="301" t="s">
        <v>150</v>
      </c>
      <c r="N116" s="303"/>
      <c r="O116" s="302">
        <v>42984</v>
      </c>
      <c r="P116" s="259"/>
      <c r="Y116" s="97"/>
      <c r="Z116" s="97"/>
      <c r="AA116" s="97"/>
      <c r="AB116" s="97"/>
      <c r="AC116" s="97"/>
      <c r="AD116" s="97"/>
    </row>
    <row r="117" spans="1:30" ht="15" customHeight="1" thickBot="1" x14ac:dyDescent="0.3">
      <c r="A117" s="304">
        <v>115</v>
      </c>
      <c r="B117" s="299" t="s">
        <v>12</v>
      </c>
      <c r="C117" s="300" t="s">
        <v>11</v>
      </c>
      <c r="D117" s="299"/>
      <c r="E117" s="301"/>
      <c r="F117" s="301"/>
      <c r="G117" s="301"/>
      <c r="H117" s="299"/>
      <c r="I117" s="299"/>
      <c r="J117" s="299"/>
      <c r="K117" s="301"/>
      <c r="L117" s="302"/>
      <c r="M117" s="301" t="s">
        <v>150</v>
      </c>
      <c r="N117" s="303"/>
      <c r="O117" s="302">
        <v>42984</v>
      </c>
      <c r="P117" s="259"/>
      <c r="X117" s="77" t="s">
        <v>59</v>
      </c>
      <c r="Y117" s="97"/>
      <c r="Z117" s="97"/>
      <c r="AA117" s="97"/>
      <c r="AB117" s="97"/>
      <c r="AC117" s="97"/>
      <c r="AD117" s="97"/>
    </row>
    <row r="118" spans="1:30" ht="15" customHeight="1" thickBot="1" x14ac:dyDescent="0.3">
      <c r="A118" s="304">
        <v>116</v>
      </c>
      <c r="B118" s="299" t="s">
        <v>12</v>
      </c>
      <c r="C118" s="300" t="s">
        <v>5</v>
      </c>
      <c r="D118" s="299"/>
      <c r="E118" s="301"/>
      <c r="F118" s="301"/>
      <c r="G118" s="301"/>
      <c r="H118" s="299"/>
      <c r="I118" s="299"/>
      <c r="J118" s="299"/>
      <c r="K118" s="301"/>
      <c r="L118" s="302"/>
      <c r="M118" s="301" t="s">
        <v>150</v>
      </c>
      <c r="N118" s="303"/>
      <c r="O118" s="302">
        <v>43005</v>
      </c>
      <c r="P118" s="259"/>
      <c r="X118" s="85" t="s">
        <v>75</v>
      </c>
      <c r="Y118" s="97">
        <f>COUNTIFS($B:$B,"BIRDSBORO",$C:$C,"CWS ")</f>
        <v>0</v>
      </c>
      <c r="Z118" s="97"/>
      <c r="AA118" s="97"/>
      <c r="AB118" s="97"/>
      <c r="AC118" s="97"/>
      <c r="AD118" s="97"/>
    </row>
    <row r="119" spans="1:30" ht="15" customHeight="1" thickBot="1" x14ac:dyDescent="0.3">
      <c r="A119" s="304">
        <v>117</v>
      </c>
      <c r="B119" s="299" t="s">
        <v>12</v>
      </c>
      <c r="C119" s="300" t="s">
        <v>5</v>
      </c>
      <c r="D119" s="299"/>
      <c r="E119" s="301"/>
      <c r="F119" s="301"/>
      <c r="G119" s="301"/>
      <c r="H119" s="299"/>
      <c r="I119" s="299"/>
      <c r="J119" s="299"/>
      <c r="K119" s="301"/>
      <c r="L119" s="302"/>
      <c r="M119" s="301" t="s">
        <v>150</v>
      </c>
      <c r="N119" s="303"/>
      <c r="O119" s="302">
        <v>43005</v>
      </c>
      <c r="P119" s="259"/>
      <c r="X119" s="85" t="s">
        <v>76</v>
      </c>
      <c r="Y119" s="97">
        <f>COUNTIFS($B:$B,"CONSHOHOCKEN",$C:$C,"CWS ")</f>
        <v>0</v>
      </c>
      <c r="Z119" s="97"/>
      <c r="AA119" s="97"/>
      <c r="AB119" s="97"/>
      <c r="AC119" s="97"/>
      <c r="AD119" s="97"/>
    </row>
    <row r="120" spans="1:30" ht="15" customHeight="1" thickBot="1" x14ac:dyDescent="0.3">
      <c r="A120" s="304">
        <v>118</v>
      </c>
      <c r="B120" s="299" t="s">
        <v>12</v>
      </c>
      <c r="C120" s="300" t="s">
        <v>11</v>
      </c>
      <c r="D120" s="299"/>
      <c r="E120" s="301"/>
      <c r="F120" s="301"/>
      <c r="G120" s="301"/>
      <c r="H120" s="299"/>
      <c r="I120" s="299"/>
      <c r="J120" s="299"/>
      <c r="K120" s="301"/>
      <c r="L120" s="302"/>
      <c r="M120" s="301" t="s">
        <v>159</v>
      </c>
      <c r="N120" s="303"/>
      <c r="O120" s="302">
        <v>42992</v>
      </c>
      <c r="P120" s="259"/>
      <c r="X120" s="85" t="s">
        <v>10</v>
      </c>
      <c r="Y120" s="97">
        <f>COUNTIFS($B:$B,"PHILADELPHIA",$C:$C,"CWS ")</f>
        <v>0</v>
      </c>
      <c r="Z120" s="97"/>
      <c r="AA120" s="97"/>
      <c r="AB120" s="97"/>
      <c r="AC120" s="97"/>
      <c r="AD120" s="97"/>
    </row>
    <row r="121" spans="1:30" ht="15" customHeight="1" x14ac:dyDescent="0.25">
      <c r="A121" s="304">
        <v>119</v>
      </c>
      <c r="B121" s="299" t="s">
        <v>12</v>
      </c>
      <c r="C121" s="300" t="s">
        <v>11</v>
      </c>
      <c r="D121" s="299"/>
      <c r="E121" s="301"/>
      <c r="F121" s="301"/>
      <c r="G121" s="301"/>
      <c r="H121" s="299"/>
      <c r="I121" s="299"/>
      <c r="J121" s="299"/>
      <c r="K121" s="301"/>
      <c r="L121" s="302"/>
      <c r="M121" s="301" t="s">
        <v>159</v>
      </c>
      <c r="N121" s="303"/>
      <c r="O121" s="302">
        <v>42992</v>
      </c>
      <c r="P121" s="259"/>
      <c r="X121" s="104"/>
      <c r="Y121" s="97"/>
      <c r="Z121" s="97"/>
      <c r="AA121" s="97"/>
      <c r="AB121" s="97"/>
      <c r="AC121" s="97"/>
      <c r="AD121" s="97"/>
    </row>
    <row r="122" spans="1:30" ht="15" customHeight="1" x14ac:dyDescent="0.25">
      <c r="A122" s="304">
        <v>120</v>
      </c>
      <c r="B122" s="299" t="s">
        <v>12</v>
      </c>
      <c r="C122" s="300" t="s">
        <v>11</v>
      </c>
      <c r="D122" s="299"/>
      <c r="E122" s="301"/>
      <c r="F122" s="301"/>
      <c r="G122" s="301"/>
      <c r="H122" s="299"/>
      <c r="I122" s="299"/>
      <c r="J122" s="299"/>
      <c r="K122" s="301"/>
      <c r="L122" s="302"/>
      <c r="M122" s="301" t="s">
        <v>159</v>
      </c>
      <c r="N122" s="303"/>
      <c r="O122" s="302">
        <v>42992</v>
      </c>
      <c r="P122" s="259"/>
      <c r="X122" s="105"/>
      <c r="Y122" s="97"/>
      <c r="Z122" s="97"/>
      <c r="AA122" s="97"/>
      <c r="AB122" s="97"/>
      <c r="AC122" s="97"/>
      <c r="AD122" s="97"/>
    </row>
    <row r="123" spans="1:30" ht="15" customHeight="1" x14ac:dyDescent="0.25">
      <c r="A123" s="304">
        <v>121</v>
      </c>
      <c r="B123" s="299" t="s">
        <v>12</v>
      </c>
      <c r="C123" s="300" t="s">
        <v>11</v>
      </c>
      <c r="D123" s="299"/>
      <c r="E123" s="301"/>
      <c r="F123" s="301"/>
      <c r="G123" s="301"/>
      <c r="H123" s="299"/>
      <c r="I123" s="299"/>
      <c r="J123" s="299"/>
      <c r="K123" s="301"/>
      <c r="L123" s="302"/>
      <c r="M123" s="301" t="s">
        <v>159</v>
      </c>
      <c r="N123" s="303"/>
      <c r="O123" s="302">
        <v>42992</v>
      </c>
      <c r="P123" s="259"/>
      <c r="Y123" s="97"/>
      <c r="Z123" s="97"/>
      <c r="AA123" s="97"/>
      <c r="AB123" s="97"/>
      <c r="AC123" s="97"/>
      <c r="AD123" s="97"/>
    </row>
    <row r="124" spans="1:30" ht="15" customHeight="1" x14ac:dyDescent="0.25">
      <c r="A124" s="304">
        <v>122</v>
      </c>
      <c r="B124" s="299" t="s">
        <v>12</v>
      </c>
      <c r="C124" s="300" t="s">
        <v>11</v>
      </c>
      <c r="D124" s="299"/>
      <c r="E124" s="301"/>
      <c r="F124" s="301"/>
      <c r="G124" s="301"/>
      <c r="H124" s="299"/>
      <c r="I124" s="299"/>
      <c r="J124" s="299"/>
      <c r="K124" s="301"/>
      <c r="L124" s="302"/>
      <c r="M124" s="301" t="s">
        <v>159</v>
      </c>
      <c r="N124" s="303"/>
      <c r="O124" s="302">
        <v>42992</v>
      </c>
      <c r="P124" s="259"/>
      <c r="Y124" s="97"/>
      <c r="Z124" s="97"/>
      <c r="AA124" s="97"/>
      <c r="AB124" s="97"/>
      <c r="AC124" s="97"/>
      <c r="AD124" s="97"/>
    </row>
    <row r="125" spans="1:30" ht="15" customHeight="1" x14ac:dyDescent="0.25">
      <c r="A125" s="304">
        <v>123</v>
      </c>
      <c r="B125" s="299" t="s">
        <v>12</v>
      </c>
      <c r="C125" s="300" t="s">
        <v>11</v>
      </c>
      <c r="D125" s="299"/>
      <c r="E125" s="301"/>
      <c r="F125" s="301"/>
      <c r="G125" s="301"/>
      <c r="H125" s="299"/>
      <c r="I125" s="299"/>
      <c r="J125" s="299"/>
      <c r="K125" s="301"/>
      <c r="L125" s="302"/>
      <c r="M125" s="301" t="s">
        <v>159</v>
      </c>
      <c r="N125" s="303"/>
      <c r="O125" s="302">
        <v>42992</v>
      </c>
      <c r="P125" s="259"/>
      <c r="Y125" s="97"/>
      <c r="Z125" s="97"/>
      <c r="AA125" s="97"/>
      <c r="AB125" s="97"/>
      <c r="AC125" s="97"/>
      <c r="AD125" s="97"/>
    </row>
    <row r="126" spans="1:30" ht="15" customHeight="1" thickBot="1" x14ac:dyDescent="0.3">
      <c r="A126" s="304">
        <v>124</v>
      </c>
      <c r="B126" s="299" t="s">
        <v>12</v>
      </c>
      <c r="C126" s="300" t="s">
        <v>11</v>
      </c>
      <c r="D126" s="299"/>
      <c r="E126" s="301"/>
      <c r="F126" s="301"/>
      <c r="G126" s="301"/>
      <c r="H126" s="299"/>
      <c r="I126" s="299"/>
      <c r="J126" s="299"/>
      <c r="K126" s="301"/>
      <c r="L126" s="302"/>
      <c r="M126" s="301" t="s">
        <v>159</v>
      </c>
      <c r="N126" s="303"/>
      <c r="O126" s="302">
        <v>42992</v>
      </c>
      <c r="P126" s="259"/>
      <c r="Y126" s="97"/>
      <c r="Z126" s="97"/>
      <c r="AA126" s="97"/>
      <c r="AB126" s="97"/>
      <c r="AC126" s="97"/>
      <c r="AD126" s="97"/>
    </row>
    <row r="127" spans="1:30" ht="15" customHeight="1" thickBot="1" x14ac:dyDescent="0.3">
      <c r="A127" s="304">
        <v>125</v>
      </c>
      <c r="B127" s="299" t="s">
        <v>14</v>
      </c>
      <c r="C127" s="300" t="s">
        <v>1</v>
      </c>
      <c r="D127" s="299"/>
      <c r="E127" s="301"/>
      <c r="F127" s="301"/>
      <c r="G127" s="301"/>
      <c r="H127" s="299"/>
      <c r="I127" s="299"/>
      <c r="J127" s="299"/>
      <c r="K127" s="301"/>
      <c r="L127" s="302"/>
      <c r="M127" s="301" t="s">
        <v>147</v>
      </c>
      <c r="N127" s="303"/>
      <c r="O127" s="302">
        <v>43005</v>
      </c>
      <c r="P127" s="259"/>
      <c r="X127" s="77" t="s">
        <v>1</v>
      </c>
      <c r="Y127" s="97"/>
      <c r="Z127" s="97"/>
      <c r="AA127" s="97"/>
      <c r="AB127" s="97"/>
      <c r="AC127" s="97"/>
      <c r="AD127" s="97"/>
    </row>
    <row r="128" spans="1:30" ht="15" customHeight="1" thickBot="1" x14ac:dyDescent="0.3">
      <c r="A128" s="304">
        <v>126</v>
      </c>
      <c r="B128" s="299" t="s">
        <v>15</v>
      </c>
      <c r="C128" s="300" t="s">
        <v>3</v>
      </c>
      <c r="D128" s="299"/>
      <c r="E128" s="301"/>
      <c r="F128" s="301"/>
      <c r="G128" s="301"/>
      <c r="H128" s="299"/>
      <c r="I128" s="299"/>
      <c r="J128" s="299"/>
      <c r="K128" s="301"/>
      <c r="L128" s="302"/>
      <c r="M128" s="301" t="s">
        <v>159</v>
      </c>
      <c r="N128" s="303"/>
      <c r="O128" s="302">
        <v>43004</v>
      </c>
      <c r="P128" s="259"/>
      <c r="X128" s="85" t="s">
        <v>10</v>
      </c>
      <c r="Y128" s="97">
        <f>COUNTIFS($B:$B,"PHILADELPHIA",$C:$C,"LIRS")</f>
        <v>0</v>
      </c>
      <c r="Z128" s="97"/>
      <c r="AA128" s="97"/>
      <c r="AB128" s="97"/>
      <c r="AC128" s="97"/>
      <c r="AD128" s="97"/>
    </row>
    <row r="129" spans="1:30" ht="15" customHeight="1" thickBot="1" x14ac:dyDescent="0.3">
      <c r="A129" s="304">
        <v>127</v>
      </c>
      <c r="B129" s="299" t="s">
        <v>15</v>
      </c>
      <c r="C129" s="300" t="s">
        <v>3</v>
      </c>
      <c r="D129" s="299"/>
      <c r="E129" s="301"/>
      <c r="F129" s="301"/>
      <c r="G129" s="301"/>
      <c r="H129" s="299"/>
      <c r="I129" s="299"/>
      <c r="J129" s="299"/>
      <c r="K129" s="301"/>
      <c r="L129" s="302"/>
      <c r="M129" s="301" t="s">
        <v>159</v>
      </c>
      <c r="N129" s="303"/>
      <c r="O129" s="302">
        <v>43004</v>
      </c>
      <c r="P129" s="259"/>
      <c r="X129" s="85" t="s">
        <v>14</v>
      </c>
      <c r="Y129" s="97">
        <f>COUNTIFS($B:$B,"ROSLYN",$C:$C,"LIRS")</f>
        <v>1</v>
      </c>
      <c r="Z129" s="97"/>
      <c r="AA129" s="97"/>
      <c r="AB129" s="97"/>
      <c r="AC129" s="97"/>
      <c r="AD129" s="97"/>
    </row>
    <row r="130" spans="1:30" ht="15" customHeight="1" thickBot="1" x14ac:dyDescent="0.3">
      <c r="A130" s="304">
        <v>128</v>
      </c>
      <c r="B130" s="299" t="s">
        <v>15</v>
      </c>
      <c r="C130" s="300" t="s">
        <v>3</v>
      </c>
      <c r="D130" s="299"/>
      <c r="E130" s="301"/>
      <c r="F130" s="301"/>
      <c r="G130" s="301"/>
      <c r="H130" s="299"/>
      <c r="I130" s="299"/>
      <c r="J130" s="299"/>
      <c r="K130" s="301"/>
      <c r="L130" s="302"/>
      <c r="M130" s="301" t="s">
        <v>159</v>
      </c>
      <c r="N130" s="303"/>
      <c r="O130" s="302">
        <v>43006</v>
      </c>
      <c r="P130" s="259"/>
      <c r="X130" s="85" t="s">
        <v>77</v>
      </c>
      <c r="Y130" s="97">
        <f>COUNTIFS($B:$B,"WEST CHESTER",$C:$C,"LIRS")</f>
        <v>0</v>
      </c>
      <c r="Z130" s="97"/>
      <c r="AA130" s="97"/>
      <c r="AB130" s="97"/>
      <c r="AC130" s="97"/>
      <c r="AD130" s="97"/>
    </row>
    <row r="131" spans="1:30" ht="15" customHeight="1" x14ac:dyDescent="0.25">
      <c r="A131" s="304">
        <v>129</v>
      </c>
      <c r="B131" s="299" t="s">
        <v>15</v>
      </c>
      <c r="C131" s="300" t="s">
        <v>3</v>
      </c>
      <c r="D131" s="299"/>
      <c r="E131" s="301"/>
      <c r="F131" s="301"/>
      <c r="G131" s="301"/>
      <c r="H131" s="299"/>
      <c r="I131" s="299"/>
      <c r="J131" s="299"/>
      <c r="K131" s="301"/>
      <c r="L131" s="302"/>
      <c r="M131" s="301" t="s">
        <v>276</v>
      </c>
      <c r="N131" s="303"/>
      <c r="O131" s="302">
        <v>43006</v>
      </c>
      <c r="P131" s="259"/>
      <c r="X131" s="104"/>
      <c r="Y131" s="97"/>
      <c r="Z131" s="97"/>
      <c r="AA131" s="97"/>
      <c r="AB131" s="97"/>
      <c r="AC131" s="97"/>
      <c r="AD131" s="97"/>
    </row>
    <row r="132" spans="1:30" ht="15" customHeight="1" x14ac:dyDescent="0.25">
      <c r="A132" s="304">
        <v>130</v>
      </c>
      <c r="B132" s="299" t="s">
        <v>15</v>
      </c>
      <c r="C132" s="300" t="s">
        <v>3</v>
      </c>
      <c r="D132" s="299"/>
      <c r="E132" s="301"/>
      <c r="F132" s="301"/>
      <c r="G132" s="301"/>
      <c r="H132" s="299"/>
      <c r="I132" s="299"/>
      <c r="J132" s="299"/>
      <c r="K132" s="301"/>
      <c r="L132" s="302"/>
      <c r="M132" s="301" t="s">
        <v>150</v>
      </c>
      <c r="N132" s="303"/>
      <c r="O132" s="302">
        <v>42999</v>
      </c>
      <c r="P132" s="259"/>
      <c r="X132" s="105"/>
      <c r="Y132" s="97"/>
      <c r="Z132" s="97"/>
      <c r="AA132" s="97"/>
      <c r="AB132" s="97"/>
      <c r="AC132" s="97"/>
      <c r="AD132" s="97"/>
    </row>
    <row r="133" spans="1:30" ht="15" customHeight="1" x14ac:dyDescent="0.25">
      <c r="A133" s="304">
        <v>131</v>
      </c>
      <c r="B133" s="299" t="s">
        <v>15</v>
      </c>
      <c r="C133" s="300" t="s">
        <v>3</v>
      </c>
      <c r="D133" s="299"/>
      <c r="E133" s="301"/>
      <c r="F133" s="301"/>
      <c r="G133" s="301"/>
      <c r="H133" s="299"/>
      <c r="I133" s="299"/>
      <c r="J133" s="299"/>
      <c r="K133" s="301"/>
      <c r="L133" s="302"/>
      <c r="M133" s="301" t="s">
        <v>150</v>
      </c>
      <c r="N133" s="303"/>
      <c r="O133" s="302">
        <v>42999</v>
      </c>
      <c r="P133" s="259"/>
      <c r="Y133" s="97"/>
      <c r="Z133" s="97"/>
      <c r="AA133" s="97"/>
      <c r="AB133" s="97"/>
      <c r="AC133" s="97"/>
      <c r="AD133" s="97"/>
    </row>
    <row r="134" spans="1:30" ht="15" customHeight="1" x14ac:dyDescent="0.25">
      <c r="A134" s="304">
        <v>132</v>
      </c>
      <c r="B134" s="299" t="s">
        <v>15</v>
      </c>
      <c r="C134" s="300" t="s">
        <v>3</v>
      </c>
      <c r="D134" s="299"/>
      <c r="E134" s="301"/>
      <c r="F134" s="301"/>
      <c r="G134" s="301"/>
      <c r="H134" s="299"/>
      <c r="I134" s="299"/>
      <c r="J134" s="299"/>
      <c r="K134" s="301"/>
      <c r="L134" s="302"/>
      <c r="M134" s="301" t="s">
        <v>150</v>
      </c>
      <c r="N134" s="303"/>
      <c r="O134" s="302">
        <v>42992</v>
      </c>
      <c r="P134" s="259"/>
      <c r="Y134" s="97"/>
      <c r="Z134" s="97"/>
      <c r="AA134" s="97"/>
      <c r="AB134" s="97"/>
      <c r="AC134" s="97"/>
      <c r="AD134" s="97"/>
    </row>
    <row r="135" spans="1:30" ht="15" customHeight="1" x14ac:dyDescent="0.25">
      <c r="A135" s="304">
        <v>133</v>
      </c>
      <c r="B135" s="299" t="s">
        <v>15</v>
      </c>
      <c r="C135" s="300" t="s">
        <v>3</v>
      </c>
      <c r="D135" s="299"/>
      <c r="E135" s="301"/>
      <c r="F135" s="301"/>
      <c r="G135" s="301"/>
      <c r="H135" s="299"/>
      <c r="I135" s="299"/>
      <c r="J135" s="299"/>
      <c r="K135" s="301"/>
      <c r="L135" s="302"/>
      <c r="M135" s="301" t="s">
        <v>150</v>
      </c>
      <c r="N135" s="303"/>
      <c r="O135" s="302">
        <v>42992</v>
      </c>
      <c r="P135" s="259"/>
      <c r="Y135" s="97"/>
      <c r="Z135" s="97"/>
      <c r="AA135" s="97"/>
      <c r="AB135" s="97"/>
      <c r="AC135" s="97"/>
      <c r="AD135" s="97"/>
    </row>
    <row r="136" spans="1:30" ht="15" customHeight="1" thickBot="1" x14ac:dyDescent="0.3">
      <c r="A136" s="304">
        <v>134</v>
      </c>
      <c r="B136" s="299" t="s">
        <v>15</v>
      </c>
      <c r="C136" s="300" t="s">
        <v>3</v>
      </c>
      <c r="D136" s="299"/>
      <c r="E136" s="301"/>
      <c r="F136" s="301"/>
      <c r="G136" s="301"/>
      <c r="H136" s="299"/>
      <c r="I136" s="299"/>
      <c r="J136" s="299"/>
      <c r="K136" s="301"/>
      <c r="L136" s="302"/>
      <c r="M136" s="301" t="s">
        <v>150</v>
      </c>
      <c r="N136" s="303"/>
      <c r="O136" s="302">
        <v>43005</v>
      </c>
      <c r="P136" s="259"/>
      <c r="Y136" s="97"/>
      <c r="Z136" s="97"/>
      <c r="AA136" s="97"/>
      <c r="AB136" s="97"/>
      <c r="AC136" s="97"/>
      <c r="AD136" s="97"/>
    </row>
    <row r="137" spans="1:30" ht="15" customHeight="1" thickBot="1" x14ac:dyDescent="0.3">
      <c r="A137" s="304">
        <v>135</v>
      </c>
      <c r="B137" s="299" t="s">
        <v>15</v>
      </c>
      <c r="C137" s="300" t="s">
        <v>3</v>
      </c>
      <c r="D137" s="299"/>
      <c r="E137" s="301"/>
      <c r="F137" s="301"/>
      <c r="G137" s="301"/>
      <c r="H137" s="299"/>
      <c r="I137" s="299"/>
      <c r="J137" s="299"/>
      <c r="K137" s="301"/>
      <c r="L137" s="302"/>
      <c r="M137" s="301" t="s">
        <v>212</v>
      </c>
      <c r="N137" s="303"/>
      <c r="O137" s="302">
        <v>43005</v>
      </c>
      <c r="P137" s="259"/>
      <c r="X137" s="77" t="s">
        <v>5</v>
      </c>
      <c r="Y137" s="97"/>
      <c r="Z137" s="97"/>
      <c r="AA137" s="97"/>
      <c r="AB137" s="97"/>
      <c r="AC137" s="97"/>
      <c r="AD137" s="97"/>
    </row>
    <row r="138" spans="1:30" ht="15" customHeight="1" thickBot="1" x14ac:dyDescent="0.3">
      <c r="A138" s="304">
        <v>136</v>
      </c>
      <c r="B138" s="299" t="s">
        <v>15</v>
      </c>
      <c r="C138" s="300" t="s">
        <v>3</v>
      </c>
      <c r="D138" s="299"/>
      <c r="E138" s="301"/>
      <c r="F138" s="301"/>
      <c r="G138" s="301"/>
      <c r="H138" s="299"/>
      <c r="I138" s="299"/>
      <c r="J138" s="299"/>
      <c r="K138" s="301"/>
      <c r="L138" s="302"/>
      <c r="M138" s="301" t="s">
        <v>150</v>
      </c>
      <c r="N138" s="303"/>
      <c r="O138" s="302">
        <v>43005</v>
      </c>
      <c r="P138" s="259"/>
      <c r="X138" s="86" t="s">
        <v>78</v>
      </c>
      <c r="Y138" s="97">
        <f>COUNTIFS($B:$B,"AVONDALE",$C:$C,"USCRI")</f>
        <v>0</v>
      </c>
      <c r="Z138" s="97"/>
      <c r="AA138" s="97"/>
      <c r="AB138" s="97"/>
      <c r="AC138" s="97"/>
      <c r="AD138" s="97"/>
    </row>
    <row r="139" spans="1:30" ht="15" customHeight="1" thickBot="1" x14ac:dyDescent="0.3">
      <c r="A139" s="304">
        <v>137</v>
      </c>
      <c r="B139" s="299" t="s">
        <v>0</v>
      </c>
      <c r="C139" s="300" t="s">
        <v>1</v>
      </c>
      <c r="D139" s="299"/>
      <c r="E139" s="301"/>
      <c r="F139" s="301"/>
      <c r="G139" s="301"/>
      <c r="H139" s="299"/>
      <c r="I139" s="299"/>
      <c r="J139" s="299"/>
      <c r="K139" s="301"/>
      <c r="L139" s="302"/>
      <c r="M139" s="301" t="s">
        <v>141</v>
      </c>
      <c r="N139" s="303"/>
      <c r="O139" s="302">
        <v>43004</v>
      </c>
      <c r="P139" s="259"/>
      <c r="X139" s="85" t="s">
        <v>79</v>
      </c>
      <c r="Y139" s="97">
        <f>COUNTIFS($B:$B,"BENSALEM",$C:$C,"USCRI")</f>
        <v>1</v>
      </c>
      <c r="Z139" s="97"/>
      <c r="AA139" s="97"/>
      <c r="AB139" s="97"/>
      <c r="AC139" s="97"/>
      <c r="AD139" s="97"/>
    </row>
    <row r="140" spans="1:30" ht="15" customHeight="1" thickBot="1" x14ac:dyDescent="0.3">
      <c r="A140" s="304">
        <v>138</v>
      </c>
      <c r="B140" s="299" t="s">
        <v>0</v>
      </c>
      <c r="C140" s="300" t="s">
        <v>1</v>
      </c>
      <c r="D140" s="299"/>
      <c r="E140" s="301"/>
      <c r="F140" s="301"/>
      <c r="G140" s="301"/>
      <c r="H140" s="299"/>
      <c r="I140" s="299"/>
      <c r="J140" s="299"/>
      <c r="K140" s="301"/>
      <c r="L140" s="302"/>
      <c r="M140" s="301" t="s">
        <v>141</v>
      </c>
      <c r="N140" s="303"/>
      <c r="O140" s="302">
        <v>43004</v>
      </c>
      <c r="P140" s="259"/>
      <c r="X140" s="85" t="s">
        <v>101</v>
      </c>
      <c r="Y140" s="97">
        <f>COUNTIFS($B:$B,"BOOTHWYN",$C:$C,"USCRI")</f>
        <v>0</v>
      </c>
      <c r="Z140" s="97"/>
      <c r="AA140" s="97"/>
      <c r="AB140" s="97"/>
      <c r="AC140" s="97"/>
      <c r="AD140" s="97"/>
    </row>
    <row r="141" spans="1:30" ht="15" customHeight="1" thickBot="1" x14ac:dyDescent="0.3">
      <c r="A141" s="304">
        <v>139</v>
      </c>
      <c r="B141" s="299" t="s">
        <v>0</v>
      </c>
      <c r="C141" s="300" t="s">
        <v>1</v>
      </c>
      <c r="D141" s="299"/>
      <c r="E141" s="301"/>
      <c r="F141" s="301"/>
      <c r="G141" s="301"/>
      <c r="H141" s="299"/>
      <c r="I141" s="299"/>
      <c r="J141" s="299"/>
      <c r="K141" s="301"/>
      <c r="L141" s="302"/>
      <c r="M141" s="301" t="s">
        <v>141</v>
      </c>
      <c r="N141" s="303"/>
      <c r="O141" s="302">
        <v>43004</v>
      </c>
      <c r="P141" s="259"/>
      <c r="X141" s="85" t="s">
        <v>113</v>
      </c>
      <c r="Y141" s="97">
        <f>COUNTIFS($B:$B,"BROOMALL",$C:$C,"USCRI")</f>
        <v>0</v>
      </c>
      <c r="Z141" s="97"/>
      <c r="AA141" s="97"/>
      <c r="AB141" s="97"/>
      <c r="AC141" s="97"/>
      <c r="AD141" s="97"/>
    </row>
    <row r="142" spans="1:30" ht="15" customHeight="1" thickBot="1" x14ac:dyDescent="0.3">
      <c r="A142" s="304">
        <v>140</v>
      </c>
      <c r="B142" s="299" t="s">
        <v>0</v>
      </c>
      <c r="C142" s="300" t="s">
        <v>1</v>
      </c>
      <c r="D142" s="299"/>
      <c r="E142" s="301"/>
      <c r="F142" s="301"/>
      <c r="G142" s="301"/>
      <c r="H142" s="299"/>
      <c r="I142" s="299"/>
      <c r="J142" s="299"/>
      <c r="K142" s="301"/>
      <c r="L142" s="302"/>
      <c r="M142" s="301" t="s">
        <v>141</v>
      </c>
      <c r="N142" s="303"/>
      <c r="O142" s="302">
        <v>43004</v>
      </c>
      <c r="P142" s="259"/>
      <c r="X142" s="85" t="s">
        <v>44</v>
      </c>
      <c r="Y142" s="97">
        <f>COUNTIFS($B:$B,"CHESTER",$C:$C,"USCRI")</f>
        <v>0</v>
      </c>
      <c r="Z142" s="97"/>
      <c r="AA142" s="97"/>
      <c r="AB142" s="97"/>
      <c r="AC142" s="97"/>
      <c r="AD142" s="97"/>
    </row>
    <row r="143" spans="1:30" ht="15" customHeight="1" thickBot="1" x14ac:dyDescent="0.3">
      <c r="A143" s="304">
        <v>141</v>
      </c>
      <c r="B143" s="299" t="s">
        <v>0</v>
      </c>
      <c r="C143" s="300" t="s">
        <v>1</v>
      </c>
      <c r="D143" s="299"/>
      <c r="E143" s="301"/>
      <c r="F143" s="301"/>
      <c r="G143" s="301"/>
      <c r="H143" s="299"/>
      <c r="I143" s="299"/>
      <c r="J143" s="299"/>
      <c r="K143" s="301"/>
      <c r="L143" s="302"/>
      <c r="M143" s="301" t="s">
        <v>141</v>
      </c>
      <c r="N143" s="303"/>
      <c r="O143" s="302">
        <v>43004</v>
      </c>
      <c r="P143" s="259"/>
      <c r="X143" s="85" t="s">
        <v>80</v>
      </c>
      <c r="Y143" s="97">
        <f>COUNTIFS($B:$B,"CLIFTON HEIGHTS",$C:$C,"USCRI")</f>
        <v>0</v>
      </c>
      <c r="Z143" s="97"/>
      <c r="AA143" s="97"/>
      <c r="AB143" s="97"/>
      <c r="AC143" s="97"/>
      <c r="AD143" s="97"/>
    </row>
    <row r="144" spans="1:30" ht="15" customHeight="1" thickBot="1" x14ac:dyDescent="0.3">
      <c r="A144" s="304">
        <v>142</v>
      </c>
      <c r="B144" s="299" t="s">
        <v>79</v>
      </c>
      <c r="C144" s="300" t="s">
        <v>5</v>
      </c>
      <c r="D144" s="299"/>
      <c r="E144" s="301"/>
      <c r="F144" s="301"/>
      <c r="G144" s="301"/>
      <c r="H144" s="299"/>
      <c r="I144" s="299"/>
      <c r="J144" s="299"/>
      <c r="K144" s="301"/>
      <c r="L144" s="302"/>
      <c r="M144" s="301" t="s">
        <v>141</v>
      </c>
      <c r="N144" s="303"/>
      <c r="O144" s="302">
        <v>42980</v>
      </c>
      <c r="P144" s="259"/>
      <c r="X144" s="85" t="s">
        <v>116</v>
      </c>
      <c r="Y144" s="97">
        <f>COUNTIFS($B:$B,"COLLEGEVILLE",$C:$C,"USCRI")</f>
        <v>0</v>
      </c>
      <c r="Z144" s="97"/>
      <c r="AA144" s="97"/>
      <c r="AB144" s="97"/>
      <c r="AC144" s="97"/>
      <c r="AD144" s="97"/>
    </row>
    <row r="145" spans="1:30" ht="15" customHeight="1" thickBot="1" x14ac:dyDescent="0.3">
      <c r="A145" s="304">
        <v>143</v>
      </c>
      <c r="B145" s="299" t="s">
        <v>10</v>
      </c>
      <c r="C145" s="300" t="s">
        <v>5</v>
      </c>
      <c r="D145" s="299"/>
      <c r="E145" s="301"/>
      <c r="F145" s="301"/>
      <c r="G145" s="301"/>
      <c r="H145" s="299"/>
      <c r="I145" s="299"/>
      <c r="J145" s="299"/>
      <c r="K145" s="301"/>
      <c r="L145" s="302"/>
      <c r="M145" s="301" t="s">
        <v>141</v>
      </c>
      <c r="N145" s="303"/>
      <c r="O145" s="302">
        <v>43004</v>
      </c>
      <c r="P145" s="259"/>
      <c r="X145" s="85" t="s">
        <v>81</v>
      </c>
      <c r="Y145" s="97">
        <f>COUNTIFS($B:$B,"COLLINGDALE",$C:$C,"USCRI")</f>
        <v>0</v>
      </c>
      <c r="Z145" s="97"/>
      <c r="AA145" s="97"/>
      <c r="AB145" s="97"/>
      <c r="AC145" s="97"/>
      <c r="AD145" s="97"/>
    </row>
    <row r="146" spans="1:30" ht="15" customHeight="1" thickBot="1" x14ac:dyDescent="0.3">
      <c r="A146" s="304">
        <v>144</v>
      </c>
      <c r="B146" s="299" t="s">
        <v>10</v>
      </c>
      <c r="C146" s="300" t="s">
        <v>5</v>
      </c>
      <c r="D146" s="299"/>
      <c r="E146" s="301"/>
      <c r="F146" s="301"/>
      <c r="G146" s="301"/>
      <c r="H146" s="299"/>
      <c r="I146" s="299"/>
      <c r="J146" s="299"/>
      <c r="K146" s="301"/>
      <c r="L146" s="302"/>
      <c r="M146" s="301" t="s">
        <v>141</v>
      </c>
      <c r="N146" s="303"/>
      <c r="O146" s="302">
        <v>43004</v>
      </c>
      <c r="P146" s="259"/>
      <c r="T146" s="97"/>
      <c r="X146" s="85" t="s">
        <v>76</v>
      </c>
      <c r="Y146" s="97">
        <f>COUNTIFS($B:$B,"CONSHOHOCKEN",$C:$C,"USCRI")</f>
        <v>0</v>
      </c>
      <c r="Z146" s="97"/>
      <c r="AA146" s="97"/>
      <c r="AB146" s="97"/>
      <c r="AC146" s="97"/>
      <c r="AD146" s="97"/>
    </row>
    <row r="147" spans="1:30" ht="15" customHeight="1" thickBot="1" x14ac:dyDescent="0.3">
      <c r="A147" s="304">
        <v>145</v>
      </c>
      <c r="B147" s="299" t="s">
        <v>10</v>
      </c>
      <c r="C147" s="300" t="s">
        <v>5</v>
      </c>
      <c r="D147" s="299"/>
      <c r="E147" s="301"/>
      <c r="F147" s="301"/>
      <c r="G147" s="301"/>
      <c r="H147" s="299"/>
      <c r="I147" s="299"/>
      <c r="J147" s="299"/>
      <c r="K147" s="301"/>
      <c r="L147" s="302"/>
      <c r="M147" s="301" t="s">
        <v>141</v>
      </c>
      <c r="N147" s="303"/>
      <c r="O147" s="302">
        <v>43004</v>
      </c>
      <c r="P147" s="259"/>
      <c r="X147" s="85" t="s">
        <v>82</v>
      </c>
      <c r="Y147" s="97">
        <f>COUNTIFS($B:$B,"DARBY",$C:$C,"USCRI")</f>
        <v>0</v>
      </c>
      <c r="Z147" s="97"/>
      <c r="AA147" s="97"/>
      <c r="AB147" s="97"/>
      <c r="AC147" s="97"/>
      <c r="AD147" s="97"/>
    </row>
    <row r="148" spans="1:30" ht="15" customHeight="1" thickBot="1" x14ac:dyDescent="0.3">
      <c r="A148" s="304">
        <v>146</v>
      </c>
      <c r="B148" s="299" t="s">
        <v>10</v>
      </c>
      <c r="C148" s="300" t="s">
        <v>5</v>
      </c>
      <c r="D148" s="299"/>
      <c r="E148" s="301"/>
      <c r="F148" s="301"/>
      <c r="G148" s="301"/>
      <c r="H148" s="299"/>
      <c r="I148" s="299"/>
      <c r="J148" s="299"/>
      <c r="K148" s="301"/>
      <c r="L148" s="302"/>
      <c r="M148" s="301" t="s">
        <v>141</v>
      </c>
      <c r="N148" s="303"/>
      <c r="O148" s="302">
        <v>43004</v>
      </c>
      <c r="P148" s="259"/>
      <c r="X148" s="85" t="s">
        <v>97</v>
      </c>
      <c r="Y148" s="97">
        <f>COUNTIFS($B:$B,"DOWNINGTOWN",$C:$C,"USCRI")</f>
        <v>0</v>
      </c>
      <c r="Z148" s="97"/>
      <c r="AA148" s="97"/>
      <c r="AB148" s="97"/>
      <c r="AC148" s="97"/>
      <c r="AD148" s="97"/>
    </row>
    <row r="149" spans="1:30" ht="15" customHeight="1" thickBot="1" x14ac:dyDescent="0.3">
      <c r="A149" s="304">
        <v>147</v>
      </c>
      <c r="B149" s="299" t="s">
        <v>10</v>
      </c>
      <c r="C149" s="300" t="s">
        <v>5</v>
      </c>
      <c r="D149" s="299"/>
      <c r="E149" s="301"/>
      <c r="F149" s="301"/>
      <c r="G149" s="301"/>
      <c r="H149" s="299"/>
      <c r="I149" s="299"/>
      <c r="J149" s="299"/>
      <c r="K149" s="301"/>
      <c r="L149" s="302"/>
      <c r="M149" s="301" t="s">
        <v>141</v>
      </c>
      <c r="N149" s="303"/>
      <c r="O149" s="302">
        <v>43004</v>
      </c>
      <c r="P149" s="259"/>
      <c r="X149" s="85" t="s">
        <v>108</v>
      </c>
      <c r="Y149" s="97">
        <f>COUNTIFS($B:$B,"ELKINS PARK",$C:$C,"USCRI")</f>
        <v>1</v>
      </c>
      <c r="AA149" s="97"/>
      <c r="AB149" s="97"/>
      <c r="AC149" s="97"/>
      <c r="AD149" s="97"/>
    </row>
    <row r="150" spans="1:30" ht="15" customHeight="1" thickBot="1" x14ac:dyDescent="0.3">
      <c r="A150" s="304">
        <v>148</v>
      </c>
      <c r="B150" s="299" t="s">
        <v>10</v>
      </c>
      <c r="C150" s="300" t="s">
        <v>5</v>
      </c>
      <c r="D150" s="299"/>
      <c r="E150" s="301"/>
      <c r="F150" s="301"/>
      <c r="G150" s="301"/>
      <c r="H150" s="299"/>
      <c r="I150" s="299"/>
      <c r="J150" s="299"/>
      <c r="K150" s="301"/>
      <c r="L150" s="302"/>
      <c r="M150" s="301" t="s">
        <v>141</v>
      </c>
      <c r="N150" s="303"/>
      <c r="O150" s="302">
        <v>43004</v>
      </c>
      <c r="P150" s="259"/>
      <c r="X150" s="85" t="s">
        <v>282</v>
      </c>
      <c r="Y150" s="97">
        <f>COUNTIFS($B:$B,"FEASTERVILLE TREVOSE",$C:$C,"USCRI")</f>
        <v>0</v>
      </c>
      <c r="Z150" s="97"/>
      <c r="AA150" s="97"/>
      <c r="AB150" s="97"/>
      <c r="AC150" s="97"/>
      <c r="AD150" s="97"/>
    </row>
    <row r="151" spans="1:30" ht="15" customHeight="1" thickBot="1" x14ac:dyDescent="0.3">
      <c r="A151" s="304">
        <v>149</v>
      </c>
      <c r="B151" s="299" t="s">
        <v>12</v>
      </c>
      <c r="C151" s="300" t="s">
        <v>13</v>
      </c>
      <c r="D151" s="299"/>
      <c r="E151" s="301"/>
      <c r="F151" s="301"/>
      <c r="G151" s="301"/>
      <c r="H151" s="299"/>
      <c r="I151" s="299"/>
      <c r="J151" s="299"/>
      <c r="K151" s="301"/>
      <c r="L151" s="302"/>
      <c r="M151" s="301" t="s">
        <v>141</v>
      </c>
      <c r="N151" s="303"/>
      <c r="O151" s="302">
        <v>43004</v>
      </c>
      <c r="P151" s="259"/>
      <c r="X151" s="85" t="s">
        <v>105</v>
      </c>
      <c r="Y151" s="97">
        <f>COUNTIFS($B:$B,"FEASTERVILLE",$C:$C,"USCRI")</f>
        <v>0</v>
      </c>
      <c r="AA151" s="97"/>
      <c r="AB151" s="97"/>
      <c r="AC151" s="97"/>
      <c r="AD151" s="97"/>
    </row>
    <row r="152" spans="1:30" ht="15" customHeight="1" thickBot="1" x14ac:dyDescent="0.3">
      <c r="A152" s="304">
        <v>150</v>
      </c>
      <c r="B152" s="299" t="s">
        <v>12</v>
      </c>
      <c r="C152" s="300" t="s">
        <v>13</v>
      </c>
      <c r="D152" s="299"/>
      <c r="E152" s="301"/>
      <c r="F152" s="301"/>
      <c r="G152" s="301"/>
      <c r="H152" s="299"/>
      <c r="I152" s="299"/>
      <c r="J152" s="299"/>
      <c r="K152" s="301"/>
      <c r="L152" s="302"/>
      <c r="M152" s="301" t="s">
        <v>141</v>
      </c>
      <c r="N152" s="303"/>
      <c r="O152" s="302">
        <v>43004</v>
      </c>
      <c r="P152" s="259"/>
      <c r="X152" s="85" t="s">
        <v>279</v>
      </c>
      <c r="Y152" s="97">
        <f>COUNTIFS($B:$B,"HORSHAM",$C:$C,"USCRI")</f>
        <v>0</v>
      </c>
      <c r="Z152" s="97"/>
      <c r="AB152" s="97"/>
      <c r="AC152" s="97"/>
      <c r="AD152" s="97"/>
    </row>
    <row r="153" spans="1:30" ht="15" customHeight="1" thickBot="1" x14ac:dyDescent="0.3">
      <c r="A153" s="304">
        <v>151</v>
      </c>
      <c r="B153" s="299" t="s">
        <v>12</v>
      </c>
      <c r="C153" s="300" t="s">
        <v>13</v>
      </c>
      <c r="D153" s="299"/>
      <c r="E153" s="301"/>
      <c r="F153" s="301"/>
      <c r="G153" s="301"/>
      <c r="H153" s="299"/>
      <c r="I153" s="299"/>
      <c r="J153" s="299"/>
      <c r="K153" s="301"/>
      <c r="L153" s="302"/>
      <c r="M153" s="301" t="s">
        <v>141</v>
      </c>
      <c r="N153" s="303"/>
      <c r="O153" s="302">
        <v>43004</v>
      </c>
      <c r="P153" s="259"/>
      <c r="X153" s="85" t="s">
        <v>289</v>
      </c>
      <c r="Y153" s="97">
        <f>COUNTIFS($B:$B,"HUNTINGTON VALLEY",$C:$C,"USCRI")</f>
        <v>0</v>
      </c>
      <c r="AA153" s="97"/>
      <c r="AB153" s="97"/>
      <c r="AC153" s="97"/>
      <c r="AD153" s="97"/>
    </row>
    <row r="154" spans="1:30" ht="15" customHeight="1" thickBot="1" x14ac:dyDescent="0.3">
      <c r="A154" s="304">
        <v>152</v>
      </c>
      <c r="B154" s="299" t="s">
        <v>12</v>
      </c>
      <c r="C154" s="300" t="s">
        <v>13</v>
      </c>
      <c r="D154" s="299"/>
      <c r="E154" s="301"/>
      <c r="F154" s="301"/>
      <c r="G154" s="301"/>
      <c r="H154" s="299"/>
      <c r="I154" s="299"/>
      <c r="J154" s="299"/>
      <c r="K154" s="301"/>
      <c r="L154" s="302"/>
      <c r="M154" s="301" t="s">
        <v>141</v>
      </c>
      <c r="N154" s="303"/>
      <c r="O154" s="302">
        <v>43004</v>
      </c>
      <c r="P154" s="259"/>
      <c r="X154" s="85" t="s">
        <v>95</v>
      </c>
      <c r="Y154" s="97">
        <f>COUNTIFS($B:$B,"LANGHORNE",$C:$C,"USCRI")</f>
        <v>0</v>
      </c>
      <c r="Z154" s="97"/>
      <c r="AA154" s="97"/>
      <c r="AB154" s="97"/>
      <c r="AC154" s="97"/>
      <c r="AD154" s="97"/>
    </row>
    <row r="155" spans="1:30" ht="15" customHeight="1" thickBot="1" x14ac:dyDescent="0.3">
      <c r="A155" s="304">
        <v>153</v>
      </c>
      <c r="B155" s="299" t="s">
        <v>12</v>
      </c>
      <c r="C155" s="300" t="s">
        <v>11</v>
      </c>
      <c r="D155" s="299"/>
      <c r="E155" s="301"/>
      <c r="F155" s="301"/>
      <c r="G155" s="301"/>
      <c r="H155" s="299"/>
      <c r="I155" s="299"/>
      <c r="J155" s="299"/>
      <c r="K155" s="301"/>
      <c r="L155" s="302"/>
      <c r="M155" s="301" t="s">
        <v>141</v>
      </c>
      <c r="N155" s="303"/>
      <c r="O155" s="302">
        <v>42998</v>
      </c>
      <c r="P155" s="259"/>
      <c r="X155" s="85" t="s">
        <v>83</v>
      </c>
      <c r="Y155" s="97">
        <f>COUNTIFS($B:$B,"LEVITTOWN",$C:$C,"USCRI")</f>
        <v>0</v>
      </c>
      <c r="Z155" s="97"/>
      <c r="AA155" s="97"/>
      <c r="AB155" s="97"/>
      <c r="AC155" s="97"/>
      <c r="AD155" s="97"/>
    </row>
    <row r="156" spans="1:30" ht="15" customHeight="1" thickBot="1" x14ac:dyDescent="0.3">
      <c r="A156" s="304">
        <v>154</v>
      </c>
      <c r="B156" s="299" t="s">
        <v>12</v>
      </c>
      <c r="C156" s="300" t="s">
        <v>11</v>
      </c>
      <c r="D156" s="299"/>
      <c r="E156" s="301"/>
      <c r="F156" s="301"/>
      <c r="G156" s="301"/>
      <c r="H156" s="299"/>
      <c r="I156" s="299"/>
      <c r="J156" s="299"/>
      <c r="K156" s="301"/>
      <c r="L156" s="302"/>
      <c r="M156" s="301" t="s">
        <v>141</v>
      </c>
      <c r="N156" s="303"/>
      <c r="O156" s="302">
        <v>42998</v>
      </c>
      <c r="P156" s="259"/>
      <c r="X156" s="85" t="s">
        <v>121</v>
      </c>
      <c r="Y156" s="97">
        <f>COUNTIFS($B:$B,"MEDIA",$C:$C,"USCRI")</f>
        <v>0</v>
      </c>
      <c r="Z156" s="97"/>
      <c r="AA156" s="97"/>
      <c r="AB156" s="97"/>
      <c r="AC156" s="97"/>
      <c r="AD156" s="97"/>
    </row>
    <row r="157" spans="1:30" ht="15" customHeight="1" thickBot="1" x14ac:dyDescent="0.3">
      <c r="A157" s="304">
        <v>155</v>
      </c>
      <c r="B157" s="299" t="s">
        <v>12</v>
      </c>
      <c r="C157" s="300" t="s">
        <v>11</v>
      </c>
      <c r="D157" s="299"/>
      <c r="E157" s="301"/>
      <c r="F157" s="301"/>
      <c r="G157" s="301"/>
      <c r="H157" s="299"/>
      <c r="I157" s="299"/>
      <c r="J157" s="299"/>
      <c r="K157" s="301"/>
      <c r="L157" s="302"/>
      <c r="M157" s="301" t="s">
        <v>141</v>
      </c>
      <c r="N157" s="303"/>
      <c r="O157" s="302">
        <v>42998</v>
      </c>
      <c r="P157" s="259"/>
      <c r="X157" s="85" t="s">
        <v>123</v>
      </c>
      <c r="Y157" s="97">
        <f>COUNTIFS($B:$B,"NORRISTOWN",$C:$C,"USCRI")</f>
        <v>0</v>
      </c>
      <c r="Z157" s="97"/>
      <c r="AA157" s="97"/>
      <c r="AB157" s="97"/>
      <c r="AC157" s="97"/>
      <c r="AD157" s="97"/>
    </row>
    <row r="158" spans="1:30" ht="15" customHeight="1" thickBot="1" x14ac:dyDescent="0.3">
      <c r="A158" s="304">
        <v>156</v>
      </c>
      <c r="B158" s="299" t="s">
        <v>12</v>
      </c>
      <c r="C158" s="300" t="s">
        <v>11</v>
      </c>
      <c r="D158" s="299"/>
      <c r="E158" s="301"/>
      <c r="F158" s="301"/>
      <c r="G158" s="301"/>
      <c r="H158" s="299"/>
      <c r="I158" s="299"/>
      <c r="J158" s="299"/>
      <c r="K158" s="301"/>
      <c r="L158" s="302"/>
      <c r="M158" s="301" t="s">
        <v>141</v>
      </c>
      <c r="N158" s="303"/>
      <c r="O158" s="302">
        <v>42998</v>
      </c>
      <c r="P158" s="259"/>
      <c r="X158" s="85" t="s">
        <v>102</v>
      </c>
      <c r="Y158" s="97">
        <f>COUNTIFS($B:$B,"NORWOOD",$C:$C,"USCRI")</f>
        <v>0</v>
      </c>
      <c r="Z158" s="97"/>
      <c r="AA158" s="97"/>
      <c r="AB158" s="97"/>
      <c r="AC158" s="97"/>
      <c r="AD158" s="97"/>
    </row>
    <row r="159" spans="1:30" ht="15" customHeight="1" thickBot="1" x14ac:dyDescent="0.3">
      <c r="A159" s="304">
        <v>157</v>
      </c>
      <c r="B159" s="299" t="s">
        <v>12</v>
      </c>
      <c r="C159" s="300" t="s">
        <v>11</v>
      </c>
      <c r="D159" s="299"/>
      <c r="E159" s="301"/>
      <c r="F159" s="301"/>
      <c r="G159" s="301"/>
      <c r="H159" s="299"/>
      <c r="I159" s="299"/>
      <c r="J159" s="299"/>
      <c r="K159" s="301"/>
      <c r="L159" s="302"/>
      <c r="M159" s="301" t="s">
        <v>141</v>
      </c>
      <c r="N159" s="303"/>
      <c r="O159" s="302">
        <v>42998</v>
      </c>
      <c r="P159" s="259"/>
      <c r="X159" s="85" t="s">
        <v>10</v>
      </c>
      <c r="Y159" s="97">
        <f>COUNTIFS($B:$B,"PHILADELPHIA",$C:$C,"USCRI")</f>
        <v>12</v>
      </c>
      <c r="Z159" s="97"/>
      <c r="AA159" s="97"/>
      <c r="AB159" s="97"/>
      <c r="AC159" s="97"/>
      <c r="AD159" s="97"/>
    </row>
    <row r="160" spans="1:30" ht="15" customHeight="1" thickBot="1" x14ac:dyDescent="0.3">
      <c r="A160" s="304">
        <v>158</v>
      </c>
      <c r="B160" s="299" t="s">
        <v>12</v>
      </c>
      <c r="C160" s="300" t="s">
        <v>11</v>
      </c>
      <c r="D160" s="299"/>
      <c r="E160" s="301"/>
      <c r="F160" s="301"/>
      <c r="G160" s="301"/>
      <c r="H160" s="299"/>
      <c r="I160" s="299"/>
      <c r="J160" s="299"/>
      <c r="K160" s="301"/>
      <c r="L160" s="302"/>
      <c r="M160" s="301" t="s">
        <v>141</v>
      </c>
      <c r="N160" s="303"/>
      <c r="O160" s="302">
        <v>42998</v>
      </c>
      <c r="P160" s="259"/>
      <c r="X160" s="85" t="s">
        <v>118</v>
      </c>
      <c r="Y160" s="97">
        <f>COUNTIFS($B:$B,"SWARTHMORE",$C:$C,"USCRI")</f>
        <v>0</v>
      </c>
      <c r="Z160" s="97"/>
      <c r="AA160" s="97"/>
      <c r="AB160" s="97"/>
      <c r="AC160" s="97"/>
      <c r="AD160" s="97"/>
    </row>
    <row r="161" spans="1:30" ht="15" customHeight="1" thickBot="1" x14ac:dyDescent="0.3">
      <c r="A161" s="304">
        <v>159</v>
      </c>
      <c r="B161" s="299" t="s">
        <v>12</v>
      </c>
      <c r="C161" s="300" t="s">
        <v>11</v>
      </c>
      <c r="D161" s="299"/>
      <c r="E161" s="301"/>
      <c r="F161" s="301"/>
      <c r="G161" s="301"/>
      <c r="H161" s="299"/>
      <c r="I161" s="299"/>
      <c r="J161" s="299"/>
      <c r="K161" s="301"/>
      <c r="L161" s="302"/>
      <c r="M161" s="301" t="s">
        <v>141</v>
      </c>
      <c r="N161" s="303"/>
      <c r="O161" s="302">
        <v>42998</v>
      </c>
      <c r="P161" s="259"/>
      <c r="X161" s="85" t="s">
        <v>84</v>
      </c>
      <c r="Y161" s="97">
        <f>COUNTIFS($B:$B,"TREVOSE",$C:$C,"USCRI")</f>
        <v>0</v>
      </c>
      <c r="Z161" s="97"/>
      <c r="AA161" s="97"/>
      <c r="AB161" s="97"/>
      <c r="AC161" s="97"/>
      <c r="AD161" s="97"/>
    </row>
    <row r="162" spans="1:30" ht="15" customHeight="1" thickBot="1" x14ac:dyDescent="0.3">
      <c r="A162" s="304">
        <v>160</v>
      </c>
      <c r="B162" s="299" t="s">
        <v>12</v>
      </c>
      <c r="C162" s="300" t="s">
        <v>5</v>
      </c>
      <c r="D162" s="299"/>
      <c r="E162" s="301"/>
      <c r="F162" s="301"/>
      <c r="G162" s="301"/>
      <c r="H162" s="299"/>
      <c r="I162" s="299"/>
      <c r="J162" s="299"/>
      <c r="K162" s="301"/>
      <c r="L162" s="302"/>
      <c r="M162" s="301" t="s">
        <v>141</v>
      </c>
      <c r="N162" s="303"/>
      <c r="O162" s="302">
        <v>42990</v>
      </c>
      <c r="P162" s="259"/>
      <c r="X162" s="85" t="s">
        <v>103</v>
      </c>
      <c r="Y162" s="97">
        <f>COUNTIFS($B:$B,"UPPER CHICHESTER",$C:$C,"USCRI")</f>
        <v>0</v>
      </c>
      <c r="Z162" s="97"/>
      <c r="AA162" s="97"/>
      <c r="AB162" s="97"/>
      <c r="AC162" s="97"/>
      <c r="AD162" s="97"/>
    </row>
    <row r="163" spans="1:30" ht="15" customHeight="1" thickBot="1" x14ac:dyDescent="0.3">
      <c r="A163" s="304">
        <v>161</v>
      </c>
      <c r="B163" s="299" t="s">
        <v>12</v>
      </c>
      <c r="C163" s="300" t="s">
        <v>5</v>
      </c>
      <c r="D163" s="299"/>
      <c r="E163" s="301"/>
      <c r="F163" s="301"/>
      <c r="G163" s="301"/>
      <c r="H163" s="299"/>
      <c r="I163" s="299"/>
      <c r="J163" s="299"/>
      <c r="K163" s="301"/>
      <c r="L163" s="302"/>
      <c r="M163" s="301" t="s">
        <v>141</v>
      </c>
      <c r="N163" s="303"/>
      <c r="O163" s="302">
        <v>42990</v>
      </c>
      <c r="P163" s="259"/>
      <c r="X163" s="85" t="s">
        <v>16</v>
      </c>
      <c r="Y163" s="97">
        <f>COUNTIFS($B:$B,"WARMINSTER",$C:$C,"USCRI")</f>
        <v>0</v>
      </c>
      <c r="Z163" s="97"/>
      <c r="AA163" s="97"/>
      <c r="AB163" s="97"/>
      <c r="AC163" s="97"/>
      <c r="AD163" s="97"/>
    </row>
    <row r="164" spans="1:30" ht="15" customHeight="1" x14ac:dyDescent="0.25">
      <c r="A164" s="304">
        <v>162</v>
      </c>
      <c r="B164" s="299" t="s">
        <v>12</v>
      </c>
      <c r="C164" s="300" t="s">
        <v>5</v>
      </c>
      <c r="D164" s="299"/>
      <c r="E164" s="301"/>
      <c r="F164" s="301"/>
      <c r="G164" s="301"/>
      <c r="H164" s="299"/>
      <c r="I164" s="299"/>
      <c r="J164" s="299"/>
      <c r="K164" s="301"/>
      <c r="L164" s="302"/>
      <c r="M164" s="301" t="s">
        <v>141</v>
      </c>
      <c r="N164" s="303"/>
      <c r="O164" s="302">
        <v>42990</v>
      </c>
      <c r="P164" s="259"/>
      <c r="X164" s="110" t="s">
        <v>77</v>
      </c>
      <c r="Y164" s="97">
        <f>COUNTIFS($B:$B,"WEST CHESTER",$C:$C,"USCRI")</f>
        <v>0</v>
      </c>
      <c r="Z164" s="97"/>
      <c r="AA164" s="97"/>
      <c r="AB164" s="97"/>
      <c r="AC164" s="97"/>
      <c r="AD164" s="97"/>
    </row>
    <row r="165" spans="1:30" ht="15" customHeight="1" thickBot="1" x14ac:dyDescent="0.3">
      <c r="A165" s="304">
        <v>163</v>
      </c>
      <c r="B165" s="299" t="s">
        <v>12</v>
      </c>
      <c r="C165" s="300" t="s">
        <v>5</v>
      </c>
      <c r="D165" s="299"/>
      <c r="E165" s="301"/>
      <c r="F165" s="301"/>
      <c r="G165" s="301"/>
      <c r="H165" s="299"/>
      <c r="I165" s="299"/>
      <c r="J165" s="299"/>
      <c r="K165" s="301"/>
      <c r="L165" s="302"/>
      <c r="M165" s="301" t="s">
        <v>141</v>
      </c>
      <c r="N165" s="303"/>
      <c r="O165" s="302">
        <v>42990</v>
      </c>
      <c r="P165" s="259"/>
      <c r="X165" s="87" t="s">
        <v>85</v>
      </c>
      <c r="Y165" s="97">
        <f>COUNTIFS($B:$B,"WILLOW GROVE",$C:$C,"USCRI")</f>
        <v>0</v>
      </c>
      <c r="Z165" s="97"/>
      <c r="AA165" s="97"/>
      <c r="AB165" s="97"/>
      <c r="AC165" s="97"/>
      <c r="AD165" s="97"/>
    </row>
    <row r="166" spans="1:30" ht="15" customHeight="1" thickBot="1" x14ac:dyDescent="0.3">
      <c r="A166" s="304">
        <v>164</v>
      </c>
      <c r="B166" s="299" t="s">
        <v>12</v>
      </c>
      <c r="C166" s="300" t="s">
        <v>5</v>
      </c>
      <c r="D166" s="299"/>
      <c r="E166" s="301"/>
      <c r="F166" s="301"/>
      <c r="G166" s="301"/>
      <c r="H166" s="299"/>
      <c r="I166" s="299"/>
      <c r="J166" s="299"/>
      <c r="K166" s="301"/>
      <c r="L166" s="302"/>
      <c r="M166" s="301" t="s">
        <v>141</v>
      </c>
      <c r="N166" s="303"/>
      <c r="O166" s="302">
        <v>42990</v>
      </c>
      <c r="P166" s="259"/>
      <c r="X166" s="87" t="s">
        <v>267</v>
      </c>
      <c r="Y166" s="97">
        <f>COUNTIFS($B:$B,"SOUTHAMPTON",$C:$C,"USCRI")</f>
        <v>0</v>
      </c>
      <c r="Z166" s="97"/>
      <c r="AA166" s="97"/>
      <c r="AB166" s="97"/>
      <c r="AC166" s="97"/>
      <c r="AD166" s="97"/>
    </row>
    <row r="167" spans="1:30" ht="15" customHeight="1" thickBot="1" x14ac:dyDescent="0.3">
      <c r="A167" s="304">
        <v>165</v>
      </c>
      <c r="B167" s="299" t="s">
        <v>12</v>
      </c>
      <c r="C167" s="300" t="s">
        <v>5</v>
      </c>
      <c r="D167" s="299"/>
      <c r="E167" s="301"/>
      <c r="F167" s="301"/>
      <c r="G167" s="301"/>
      <c r="H167" s="299"/>
      <c r="I167" s="299"/>
      <c r="J167" s="299"/>
      <c r="K167" s="301"/>
      <c r="L167" s="302"/>
      <c r="M167" s="301" t="s">
        <v>141</v>
      </c>
      <c r="N167" s="303"/>
      <c r="O167" s="302">
        <v>42990</v>
      </c>
      <c r="P167" s="259"/>
      <c r="X167" s="77" t="s">
        <v>3</v>
      </c>
      <c r="Y167" s="97"/>
      <c r="Z167" s="97"/>
      <c r="AA167" s="97"/>
      <c r="AB167" s="97"/>
      <c r="AC167" s="97"/>
      <c r="AD167" s="97"/>
    </row>
    <row r="168" spans="1:30" ht="15" customHeight="1" thickBot="1" x14ac:dyDescent="0.3">
      <c r="A168" s="304">
        <v>166</v>
      </c>
      <c r="B168" s="299" t="s">
        <v>12</v>
      </c>
      <c r="C168" s="300" t="s">
        <v>11</v>
      </c>
      <c r="D168" s="299"/>
      <c r="E168" s="301"/>
      <c r="F168" s="301"/>
      <c r="G168" s="301"/>
      <c r="H168" s="299"/>
      <c r="I168" s="299"/>
      <c r="J168" s="299"/>
      <c r="K168" s="301"/>
      <c r="L168" s="302"/>
      <c r="M168" s="301" t="s">
        <v>141</v>
      </c>
      <c r="N168" s="303"/>
      <c r="O168" s="302">
        <v>42992</v>
      </c>
      <c r="P168" s="259"/>
      <c r="X168" s="87" t="s">
        <v>10</v>
      </c>
      <c r="Y168" s="97">
        <f>COUNTIFS($B:$B,"PHILADELPHIA",$C:$C,"USCCB")</f>
        <v>8</v>
      </c>
      <c r="Z168" s="97"/>
      <c r="AA168" s="97"/>
      <c r="AB168" s="97"/>
      <c r="AC168" s="97"/>
      <c r="AD168" s="97"/>
    </row>
    <row r="169" spans="1:30" ht="15" customHeight="1" thickBot="1" x14ac:dyDescent="0.3">
      <c r="A169" s="304">
        <v>167</v>
      </c>
      <c r="B169" s="299" t="s">
        <v>12</v>
      </c>
      <c r="C169" s="300" t="s">
        <v>11</v>
      </c>
      <c r="D169" s="299"/>
      <c r="E169" s="301"/>
      <c r="F169" s="301"/>
      <c r="G169" s="301"/>
      <c r="H169" s="299"/>
      <c r="I169" s="299"/>
      <c r="J169" s="299"/>
      <c r="K169" s="301"/>
      <c r="L169" s="302"/>
      <c r="M169" s="301" t="s">
        <v>141</v>
      </c>
      <c r="N169" s="303"/>
      <c r="O169" s="302">
        <v>42992</v>
      </c>
      <c r="P169" s="259"/>
      <c r="X169" s="85" t="s">
        <v>771</v>
      </c>
      <c r="Y169" s="97">
        <f>COUNTIFS($B:$B,"GLENOLDEN",$C:$C,"USCCB")</f>
        <v>0</v>
      </c>
      <c r="Z169" s="97"/>
      <c r="AA169" s="97"/>
      <c r="AB169" s="97"/>
      <c r="AC169" s="97"/>
      <c r="AD169" s="97"/>
    </row>
    <row r="170" spans="1:30" ht="15" customHeight="1" thickBot="1" x14ac:dyDescent="0.3">
      <c r="A170" s="304">
        <v>168</v>
      </c>
      <c r="B170" s="299" t="s">
        <v>8</v>
      </c>
      <c r="C170" s="300" t="s">
        <v>249</v>
      </c>
      <c r="D170" s="299"/>
      <c r="E170" s="301"/>
      <c r="F170" s="301"/>
      <c r="G170" s="301"/>
      <c r="H170" s="299"/>
      <c r="I170" s="299"/>
      <c r="J170" s="299"/>
      <c r="K170" s="301"/>
      <c r="L170" s="302"/>
      <c r="M170" s="301" t="s">
        <v>165</v>
      </c>
      <c r="N170" s="303"/>
      <c r="O170" s="302">
        <v>42992</v>
      </c>
      <c r="P170" s="259"/>
      <c r="X170" s="85" t="s">
        <v>108</v>
      </c>
      <c r="Y170" s="97">
        <f>COUNTIFS($B:$B,"ELKINS PARK",$C:$C,"USCCB")</f>
        <v>0</v>
      </c>
      <c r="Z170" s="97"/>
      <c r="AA170" s="97"/>
      <c r="AB170" s="97"/>
      <c r="AC170" s="97"/>
      <c r="AD170" s="97"/>
    </row>
    <row r="171" spans="1:30" ht="15" customHeight="1" thickBot="1" x14ac:dyDescent="0.3">
      <c r="A171" s="304">
        <v>169</v>
      </c>
      <c r="B171" s="299" t="s">
        <v>8</v>
      </c>
      <c r="C171" s="300" t="s">
        <v>249</v>
      </c>
      <c r="D171" s="299"/>
      <c r="E171" s="301"/>
      <c r="F171" s="301"/>
      <c r="G171" s="301"/>
      <c r="H171" s="299"/>
      <c r="I171" s="299"/>
      <c r="J171" s="299"/>
      <c r="K171" s="301"/>
      <c r="L171" s="302"/>
      <c r="M171" s="301" t="s">
        <v>165</v>
      </c>
      <c r="N171" s="303"/>
      <c r="O171" s="302">
        <v>42993</v>
      </c>
      <c r="P171" s="259"/>
      <c r="X171" s="85" t="s">
        <v>44</v>
      </c>
      <c r="Y171" s="73">
        <f>COUNTIFS($B:$B,"CHESTER",$C:$C,"USCCB")</f>
        <v>0</v>
      </c>
      <c r="Z171" s="97"/>
      <c r="AA171" s="97"/>
    </row>
    <row r="172" spans="1:30" ht="15" customHeight="1" thickBot="1" x14ac:dyDescent="0.3">
      <c r="A172" s="304">
        <v>170</v>
      </c>
      <c r="B172" s="299" t="s">
        <v>8</v>
      </c>
      <c r="C172" s="300" t="s">
        <v>249</v>
      </c>
      <c r="D172" s="299"/>
      <c r="E172" s="301"/>
      <c r="F172" s="301"/>
      <c r="G172" s="301"/>
      <c r="H172" s="299"/>
      <c r="I172" s="299"/>
      <c r="J172" s="299"/>
      <c r="K172" s="301"/>
      <c r="L172" s="302"/>
      <c r="M172" s="301" t="s">
        <v>165</v>
      </c>
      <c r="N172" s="303"/>
      <c r="O172" s="302">
        <v>42994</v>
      </c>
      <c r="P172" s="259"/>
      <c r="X172" s="87" t="s">
        <v>16</v>
      </c>
      <c r="Y172" s="73">
        <f>COUNTIFS($B:$B,"WARMINSTER",$C:$C,"USCCB")</f>
        <v>0</v>
      </c>
    </row>
    <row r="173" spans="1:30" ht="15" customHeight="1" thickBot="1" x14ac:dyDescent="0.3">
      <c r="A173" s="304">
        <v>171</v>
      </c>
      <c r="B173" s="299" t="s">
        <v>8</v>
      </c>
      <c r="C173" s="300" t="s">
        <v>249</v>
      </c>
      <c r="D173" s="299"/>
      <c r="E173" s="301"/>
      <c r="F173" s="301"/>
      <c r="G173" s="301"/>
      <c r="H173" s="299"/>
      <c r="I173" s="299"/>
      <c r="J173" s="299"/>
      <c r="K173" s="301"/>
      <c r="L173" s="302"/>
      <c r="M173" s="301" t="s">
        <v>165</v>
      </c>
      <c r="N173" s="303"/>
      <c r="O173" s="302">
        <v>42995</v>
      </c>
      <c r="P173" s="259"/>
      <c r="X173" s="119" t="s">
        <v>252</v>
      </c>
      <c r="Y173" s="119"/>
      <c r="AB173" s="132"/>
      <c r="AC173" s="132"/>
      <c r="AD173" s="132"/>
    </row>
    <row r="174" spans="1:30" ht="15" customHeight="1" thickBot="1" x14ac:dyDescent="0.3">
      <c r="A174" s="304">
        <v>172</v>
      </c>
      <c r="B174" s="299" t="s">
        <v>8</v>
      </c>
      <c r="C174" s="300" t="s">
        <v>249</v>
      </c>
      <c r="D174" s="299"/>
      <c r="E174" s="301"/>
      <c r="F174" s="301"/>
      <c r="G174" s="301"/>
      <c r="H174" s="299"/>
      <c r="I174" s="299"/>
      <c r="J174" s="299"/>
      <c r="K174" s="301"/>
      <c r="L174" s="302"/>
      <c r="M174" s="301" t="s">
        <v>165</v>
      </c>
      <c r="N174" s="303"/>
      <c r="O174" s="302">
        <v>42996</v>
      </c>
      <c r="P174" s="259"/>
      <c r="Y174" s="97"/>
      <c r="Z174" s="119">
        <f>SUM(Y110:Y172)</f>
        <v>27</v>
      </c>
      <c r="AA174" s="132"/>
    </row>
    <row r="175" spans="1:30" ht="15" customHeight="1" x14ac:dyDescent="0.25">
      <c r="A175" s="304">
        <v>173</v>
      </c>
      <c r="B175" s="299" t="s">
        <v>8</v>
      </c>
      <c r="C175" s="300" t="s">
        <v>249</v>
      </c>
      <c r="D175" s="299"/>
      <c r="E175" s="301"/>
      <c r="F175" s="301"/>
      <c r="G175" s="301"/>
      <c r="H175" s="299"/>
      <c r="I175" s="299"/>
      <c r="J175" s="299"/>
      <c r="K175" s="301"/>
      <c r="L175" s="302"/>
      <c r="M175" s="301" t="s">
        <v>165</v>
      </c>
      <c r="N175" s="303"/>
      <c r="O175" s="302">
        <v>42997</v>
      </c>
      <c r="P175" s="259"/>
      <c r="Y175" s="97"/>
      <c r="AB175" s="97"/>
      <c r="AC175" s="97"/>
      <c r="AD175" s="97"/>
    </row>
    <row r="176" spans="1:30" x14ac:dyDescent="0.25">
      <c r="A176" s="304">
        <v>174</v>
      </c>
      <c r="B176" s="299" t="s">
        <v>8</v>
      </c>
      <c r="C176" s="300" t="s">
        <v>249</v>
      </c>
      <c r="D176" s="299"/>
      <c r="E176" s="301"/>
      <c r="F176" s="301"/>
      <c r="G176" s="301"/>
      <c r="H176" s="299"/>
      <c r="I176" s="299"/>
      <c r="J176" s="299"/>
      <c r="K176" s="301"/>
      <c r="L176" s="302"/>
      <c r="M176" s="301" t="s">
        <v>165</v>
      </c>
      <c r="N176" s="303"/>
      <c r="O176" s="302">
        <v>42998</v>
      </c>
      <c r="P176" s="259"/>
      <c r="Y176" s="97"/>
      <c r="Z176" s="97"/>
      <c r="AA176" s="97"/>
      <c r="AB176" s="97"/>
      <c r="AC176" s="97"/>
      <c r="AD176" s="97"/>
    </row>
    <row r="177" spans="1:30" x14ac:dyDescent="0.25">
      <c r="A177" s="304">
        <v>175</v>
      </c>
      <c r="B177" s="299" t="s">
        <v>8</v>
      </c>
      <c r="C177" s="300" t="s">
        <v>249</v>
      </c>
      <c r="D177" s="299"/>
      <c r="E177" s="301"/>
      <c r="F177" s="301"/>
      <c r="G177" s="301"/>
      <c r="H177" s="299"/>
      <c r="I177" s="299"/>
      <c r="J177" s="299"/>
      <c r="K177" s="301"/>
      <c r="L177" s="302"/>
      <c r="M177" s="301" t="s">
        <v>165</v>
      </c>
      <c r="N177" s="303"/>
      <c r="O177" s="302">
        <v>42999</v>
      </c>
      <c r="P177" s="259"/>
      <c r="Y177" s="97"/>
      <c r="Z177" s="97"/>
      <c r="AA177" s="97"/>
      <c r="AB177" s="97"/>
      <c r="AC177" s="97"/>
      <c r="AD177" s="97"/>
    </row>
    <row r="178" spans="1:30" ht="15.75" thickBot="1" x14ac:dyDescent="0.3">
      <c r="A178" s="304">
        <v>176</v>
      </c>
      <c r="B178" s="299" t="s">
        <v>8</v>
      </c>
      <c r="C178" s="300" t="s">
        <v>249</v>
      </c>
      <c r="D178" s="299"/>
      <c r="E178" s="301"/>
      <c r="F178" s="301"/>
      <c r="G178" s="301"/>
      <c r="H178" s="299"/>
      <c r="I178" s="299"/>
      <c r="J178" s="299"/>
      <c r="K178" s="301"/>
      <c r="L178" s="302"/>
      <c r="M178" s="301" t="s">
        <v>165</v>
      </c>
      <c r="N178" s="303"/>
      <c r="O178" s="302">
        <v>43000</v>
      </c>
      <c r="P178" s="259"/>
      <c r="Y178" s="97"/>
      <c r="Z178" s="97"/>
      <c r="AA178" s="97"/>
      <c r="AB178" s="97"/>
      <c r="AC178" s="97"/>
      <c r="AD178" s="97"/>
    </row>
    <row r="179" spans="1:30" ht="15.75" thickBot="1" x14ac:dyDescent="0.3">
      <c r="A179" s="304">
        <v>177</v>
      </c>
      <c r="B179" s="299" t="s">
        <v>8</v>
      </c>
      <c r="C179" s="300" t="s">
        <v>249</v>
      </c>
      <c r="D179" s="299"/>
      <c r="E179" s="301"/>
      <c r="F179" s="301"/>
      <c r="G179" s="301"/>
      <c r="H179" s="299"/>
      <c r="I179" s="299"/>
      <c r="J179" s="299"/>
      <c r="K179" s="301"/>
      <c r="L179" s="302"/>
      <c r="M179" s="301" t="s">
        <v>180</v>
      </c>
      <c r="N179" s="303"/>
      <c r="O179" s="302">
        <v>43001</v>
      </c>
      <c r="P179" s="259"/>
      <c r="X179" s="111" t="s">
        <v>90</v>
      </c>
      <c r="Y179" s="97"/>
      <c r="Z179" s="97"/>
      <c r="AA179" s="97"/>
      <c r="AB179" s="97"/>
      <c r="AC179" s="97"/>
      <c r="AD179" s="97"/>
    </row>
    <row r="180" spans="1:30" ht="15.75" thickBot="1" x14ac:dyDescent="0.3">
      <c r="A180" s="304">
        <v>178</v>
      </c>
      <c r="B180" s="299" t="s">
        <v>8</v>
      </c>
      <c r="C180" s="300" t="s">
        <v>249</v>
      </c>
      <c r="D180" s="299"/>
      <c r="E180" s="301"/>
      <c r="F180" s="301"/>
      <c r="G180" s="301"/>
      <c r="H180" s="299"/>
      <c r="I180" s="299"/>
      <c r="J180" s="299"/>
      <c r="K180" s="301"/>
      <c r="L180" s="302"/>
      <c r="M180" s="301" t="s">
        <v>180</v>
      </c>
      <c r="N180" s="303"/>
      <c r="O180" s="302">
        <v>43002</v>
      </c>
      <c r="P180" s="259"/>
      <c r="X180" s="94"/>
      <c r="Y180" s="97"/>
      <c r="Z180" s="97"/>
      <c r="AA180" s="97"/>
      <c r="AB180" s="97"/>
      <c r="AC180" s="97"/>
      <c r="AD180" s="97"/>
    </row>
    <row r="181" spans="1:30" ht="15.75" thickBot="1" x14ac:dyDescent="0.3">
      <c r="A181" s="304">
        <v>179</v>
      </c>
      <c r="B181" s="299"/>
      <c r="C181" s="300"/>
      <c r="D181" s="299"/>
      <c r="E181" s="301"/>
      <c r="F181" s="301"/>
      <c r="G181" s="301"/>
      <c r="H181" s="299"/>
      <c r="I181" s="299"/>
      <c r="J181" s="299"/>
      <c r="K181" s="301"/>
      <c r="L181" s="302"/>
      <c r="M181" s="301"/>
      <c r="N181" s="303"/>
      <c r="O181" s="302"/>
      <c r="P181" s="259"/>
      <c r="X181" s="78" t="s">
        <v>3</v>
      </c>
      <c r="Y181" s="97"/>
      <c r="Z181" s="97"/>
      <c r="AA181" s="97"/>
      <c r="AB181" s="97"/>
      <c r="AC181" s="97"/>
      <c r="AD181" s="97"/>
    </row>
    <row r="182" spans="1:30" ht="15.75" thickBot="1" x14ac:dyDescent="0.3">
      <c r="A182" s="304">
        <v>180</v>
      </c>
      <c r="B182" s="299"/>
      <c r="C182" s="300"/>
      <c r="D182" s="299"/>
      <c r="E182" s="301"/>
      <c r="F182" s="301"/>
      <c r="G182" s="301"/>
      <c r="H182" s="299"/>
      <c r="I182" s="299"/>
      <c r="J182" s="299"/>
      <c r="K182" s="301"/>
      <c r="L182" s="302"/>
      <c r="M182" s="301"/>
      <c r="N182" s="303"/>
      <c r="O182" s="302"/>
      <c r="P182" s="259"/>
      <c r="X182" s="88" t="s">
        <v>0</v>
      </c>
      <c r="Y182" s="97">
        <f>COUNTIFS($B:$B,"ALLENTOWN",$C:$C,"USCCB")</f>
        <v>0</v>
      </c>
      <c r="Z182" s="97"/>
      <c r="AA182" s="97"/>
      <c r="AB182" s="97"/>
      <c r="AC182" s="97"/>
      <c r="AD182" s="97"/>
    </row>
    <row r="183" spans="1:30" ht="15.75" thickBot="1" x14ac:dyDescent="0.3">
      <c r="A183" s="304">
        <v>181</v>
      </c>
      <c r="B183" s="299"/>
      <c r="C183" s="300"/>
      <c r="D183" s="299"/>
      <c r="E183" s="301"/>
      <c r="F183" s="301"/>
      <c r="G183" s="301"/>
      <c r="H183" s="299"/>
      <c r="I183" s="299"/>
      <c r="J183" s="299"/>
      <c r="K183" s="301"/>
      <c r="L183" s="302"/>
      <c r="M183" s="301"/>
      <c r="N183" s="303"/>
      <c r="O183" s="302"/>
      <c r="P183" s="259"/>
      <c r="X183" s="88" t="s">
        <v>110</v>
      </c>
      <c r="Y183" s="97">
        <f>COUNTIFS($B:$B,"EASTON",$C:$C,"USCCB")</f>
        <v>0</v>
      </c>
      <c r="Z183" s="97"/>
      <c r="AA183" s="97"/>
      <c r="AB183" s="97"/>
      <c r="AC183" s="97"/>
      <c r="AD183" s="97"/>
    </row>
    <row r="184" spans="1:30" ht="15.75" thickBot="1" x14ac:dyDescent="0.3">
      <c r="A184" s="304">
        <v>182</v>
      </c>
      <c r="B184" s="299"/>
      <c r="C184" s="300"/>
      <c r="D184" s="299"/>
      <c r="E184" s="301"/>
      <c r="F184" s="301"/>
      <c r="G184" s="301"/>
      <c r="H184" s="299"/>
      <c r="I184" s="299"/>
      <c r="J184" s="299"/>
      <c r="K184" s="301"/>
      <c r="L184" s="302"/>
      <c r="M184" s="301"/>
      <c r="N184" s="303"/>
      <c r="O184" s="302"/>
      <c r="P184" s="259"/>
      <c r="X184" s="88" t="s">
        <v>7</v>
      </c>
      <c r="Y184" s="97">
        <f>COUNTIFS($B:$B,"KINGSTON",$C:$C,"USCCB")</f>
        <v>0</v>
      </c>
      <c r="Z184" s="97"/>
      <c r="AA184" s="97"/>
      <c r="AB184" s="97"/>
      <c r="AC184" s="97"/>
      <c r="AD184" s="97"/>
    </row>
    <row r="185" spans="1:30" ht="15.75" thickBot="1" x14ac:dyDescent="0.3">
      <c r="A185" s="304">
        <v>183</v>
      </c>
      <c r="B185" s="299"/>
      <c r="C185" s="300"/>
      <c r="D185" s="299"/>
      <c r="E185" s="301"/>
      <c r="F185" s="301"/>
      <c r="G185" s="301"/>
      <c r="H185" s="299"/>
      <c r="I185" s="299"/>
      <c r="J185" s="299"/>
      <c r="K185" s="301"/>
      <c r="L185" s="302"/>
      <c r="M185" s="301"/>
      <c r="N185" s="303"/>
      <c r="O185" s="302"/>
      <c r="P185" s="259"/>
      <c r="X185" s="88" t="s">
        <v>112</v>
      </c>
      <c r="Y185" s="97">
        <f>COUNTIFS($B:$B,"NORTHAMPTON",$C:$C,"USCCB")</f>
        <v>0</v>
      </c>
      <c r="Z185" s="97"/>
      <c r="AA185" s="97"/>
      <c r="AB185" s="97"/>
      <c r="AC185" s="97"/>
      <c r="AD185" s="97"/>
    </row>
    <row r="186" spans="1:30" ht="15.75" thickBot="1" x14ac:dyDescent="0.3">
      <c r="A186" s="304">
        <v>184</v>
      </c>
      <c r="B186" s="299"/>
      <c r="C186" s="300"/>
      <c r="D186" s="299"/>
      <c r="E186" s="301"/>
      <c r="F186" s="301"/>
      <c r="G186" s="301"/>
      <c r="H186" s="299"/>
      <c r="I186" s="299"/>
      <c r="J186" s="299"/>
      <c r="K186" s="301"/>
      <c r="L186" s="302"/>
      <c r="M186" s="301"/>
      <c r="N186" s="303"/>
      <c r="O186" s="302"/>
      <c r="P186" s="259"/>
      <c r="X186" s="88" t="s">
        <v>15</v>
      </c>
      <c r="Y186" s="97">
        <f>COUNTIFS($B:$B,"SCRANTON",$C:$C,"USCCB")</f>
        <v>11</v>
      </c>
      <c r="Z186" s="97"/>
      <c r="AA186" s="97"/>
      <c r="AB186" s="97"/>
      <c r="AC186" s="97"/>
      <c r="AD186" s="97"/>
    </row>
    <row r="187" spans="1:30" ht="15.75" thickBot="1" x14ac:dyDescent="0.3">
      <c r="A187" s="304">
        <v>185</v>
      </c>
      <c r="B187" s="278"/>
      <c r="C187" s="279"/>
      <c r="D187" s="278"/>
      <c r="E187" s="280"/>
      <c r="F187" s="280"/>
      <c r="G187" s="280"/>
      <c r="H187" s="278"/>
      <c r="I187" s="278"/>
      <c r="J187" s="278"/>
      <c r="K187" s="280"/>
      <c r="L187" s="281"/>
      <c r="M187" s="280"/>
      <c r="N187" s="282"/>
      <c r="O187" s="302"/>
      <c r="P187" s="259"/>
      <c r="X187" s="88" t="s">
        <v>86</v>
      </c>
      <c r="Y187" s="97">
        <f>COUNTIFS($B:$B,"TAYLOR",$C:$C,"USCCB")</f>
        <v>0</v>
      </c>
      <c r="Z187" s="97"/>
      <c r="AA187" s="97"/>
      <c r="AB187" s="97"/>
      <c r="AC187" s="97"/>
      <c r="AD187" s="97"/>
    </row>
    <row r="188" spans="1:30" ht="15.75" thickBot="1" x14ac:dyDescent="0.3">
      <c r="A188" s="304">
        <v>186</v>
      </c>
      <c r="B188" s="283"/>
      <c r="C188" s="284"/>
      <c r="D188" s="278"/>
      <c r="E188" s="280"/>
      <c r="F188" s="280"/>
      <c r="G188" s="280"/>
      <c r="H188" s="278"/>
      <c r="I188" s="278"/>
      <c r="J188" s="278"/>
      <c r="K188" s="280"/>
      <c r="L188" s="281"/>
      <c r="M188" s="285"/>
      <c r="N188" s="282"/>
      <c r="O188" s="302"/>
      <c r="P188" s="259"/>
      <c r="X188" s="88" t="s">
        <v>98</v>
      </c>
      <c r="Y188" s="97">
        <f>COUNTIFS($B:$B,"WILKES-BARRE",$C:$C,"USCCB")</f>
        <v>0</v>
      </c>
      <c r="Z188" s="97"/>
      <c r="AA188" s="97"/>
      <c r="AB188" s="97"/>
      <c r="AC188" s="97"/>
      <c r="AD188" s="97"/>
    </row>
    <row r="189" spans="1:30" ht="15.75" thickBot="1" x14ac:dyDescent="0.3">
      <c r="A189" s="304">
        <v>187</v>
      </c>
      <c r="B189" s="283"/>
      <c r="C189" s="284"/>
      <c r="D189" s="278"/>
      <c r="E189" s="280"/>
      <c r="F189" s="280"/>
      <c r="G189" s="280"/>
      <c r="H189" s="278"/>
      <c r="I189" s="278"/>
      <c r="J189" s="278"/>
      <c r="K189" s="280"/>
      <c r="L189" s="281"/>
      <c r="M189" s="285"/>
      <c r="N189" s="282"/>
      <c r="O189" s="302"/>
      <c r="P189" s="259"/>
      <c r="X189" s="88" t="s">
        <v>87</v>
      </c>
      <c r="Y189" s="97">
        <f>COUNTIFS($B:$B,"WILLIAMSPORT",$C:$C,"USCCB")</f>
        <v>0</v>
      </c>
      <c r="Z189" s="97"/>
      <c r="AA189" s="97"/>
      <c r="AB189" s="97"/>
      <c r="AC189" s="97"/>
      <c r="AD189" s="97"/>
    </row>
    <row r="190" spans="1:30" x14ac:dyDescent="0.25">
      <c r="A190" s="304">
        <v>188</v>
      </c>
      <c r="B190" s="283"/>
      <c r="C190" s="284"/>
      <c r="D190" s="278"/>
      <c r="E190" s="280"/>
      <c r="F190" s="280"/>
      <c r="G190" s="280"/>
      <c r="H190" s="278"/>
      <c r="I190" s="278"/>
      <c r="J190" s="278"/>
      <c r="K190" s="280"/>
      <c r="L190" s="281"/>
      <c r="M190" s="285"/>
      <c r="N190" s="282"/>
      <c r="O190" s="302"/>
      <c r="P190" s="259"/>
      <c r="X190" s="112"/>
      <c r="Y190" s="97"/>
      <c r="Z190" s="97"/>
      <c r="AA190" s="97"/>
      <c r="AB190" s="97"/>
      <c r="AC190" s="97"/>
      <c r="AD190" s="97"/>
    </row>
    <row r="191" spans="1:30" x14ac:dyDescent="0.25">
      <c r="A191" s="304">
        <v>189</v>
      </c>
      <c r="B191" s="283"/>
      <c r="C191" s="284"/>
      <c r="D191" s="278"/>
      <c r="E191" s="280"/>
      <c r="F191" s="280"/>
      <c r="G191" s="280"/>
      <c r="H191" s="278"/>
      <c r="I191" s="278"/>
      <c r="J191" s="278"/>
      <c r="K191" s="280"/>
      <c r="L191" s="281"/>
      <c r="M191" s="285"/>
      <c r="N191" s="282"/>
      <c r="O191" s="302"/>
      <c r="P191" s="259"/>
      <c r="X191" s="105"/>
      <c r="Y191" s="97"/>
      <c r="Z191" s="97"/>
      <c r="AA191" s="97"/>
      <c r="AB191" s="97"/>
      <c r="AC191" s="97"/>
      <c r="AD191" s="97"/>
    </row>
    <row r="192" spans="1:30" x14ac:dyDescent="0.25">
      <c r="A192" s="304">
        <v>190</v>
      </c>
      <c r="B192" s="283"/>
      <c r="C192" s="284"/>
      <c r="D192" s="278"/>
      <c r="E192" s="280"/>
      <c r="F192" s="280"/>
      <c r="G192" s="280"/>
      <c r="H192" s="278"/>
      <c r="I192" s="278"/>
      <c r="J192" s="278"/>
      <c r="K192" s="280"/>
      <c r="L192" s="281"/>
      <c r="M192" s="280"/>
      <c r="N192" s="282"/>
      <c r="O192" s="302"/>
      <c r="P192" s="259"/>
      <c r="Y192" s="97"/>
      <c r="Z192" s="97"/>
      <c r="AA192" s="97"/>
      <c r="AB192" s="97"/>
      <c r="AC192" s="97"/>
      <c r="AD192" s="97"/>
    </row>
    <row r="193" spans="1:30" x14ac:dyDescent="0.25">
      <c r="A193" s="304">
        <v>191</v>
      </c>
      <c r="B193" s="283"/>
      <c r="C193" s="284"/>
      <c r="D193" s="278"/>
      <c r="E193" s="280"/>
      <c r="F193" s="280"/>
      <c r="G193" s="280"/>
      <c r="H193" s="278"/>
      <c r="I193" s="278"/>
      <c r="J193" s="278"/>
      <c r="K193" s="280"/>
      <c r="L193" s="281"/>
      <c r="M193" s="285"/>
      <c r="N193" s="282"/>
      <c r="O193" s="302"/>
      <c r="P193" s="259"/>
      <c r="Y193" s="97"/>
      <c r="Z193" s="97"/>
      <c r="AA193" s="97"/>
      <c r="AB193" s="97"/>
      <c r="AC193" s="97"/>
      <c r="AD193" s="97"/>
    </row>
    <row r="194" spans="1:30" x14ac:dyDescent="0.25">
      <c r="A194" s="304">
        <v>192</v>
      </c>
      <c r="B194" s="283"/>
      <c r="C194" s="284"/>
      <c r="D194" s="278"/>
      <c r="E194" s="280"/>
      <c r="F194" s="280"/>
      <c r="G194" s="280"/>
      <c r="H194" s="278"/>
      <c r="I194" s="278"/>
      <c r="J194" s="278"/>
      <c r="K194" s="280"/>
      <c r="L194" s="281"/>
      <c r="M194" s="285"/>
      <c r="N194" s="282"/>
      <c r="O194" s="302"/>
      <c r="P194" s="259"/>
      <c r="Y194" s="97"/>
      <c r="Z194" s="97"/>
      <c r="AA194" s="97"/>
      <c r="AB194" s="97"/>
      <c r="AC194" s="97"/>
      <c r="AD194" s="97"/>
    </row>
    <row r="195" spans="1:30" ht="15.75" thickBot="1" x14ac:dyDescent="0.3">
      <c r="A195" s="304">
        <v>193</v>
      </c>
      <c r="B195" s="283"/>
      <c r="C195" s="284"/>
      <c r="D195" s="278"/>
      <c r="E195" s="280"/>
      <c r="F195" s="280"/>
      <c r="G195" s="280"/>
      <c r="H195" s="278"/>
      <c r="I195" s="278"/>
      <c r="J195" s="278"/>
      <c r="K195" s="280"/>
      <c r="L195" s="281"/>
      <c r="M195" s="285"/>
      <c r="N195" s="282"/>
      <c r="O195" s="302"/>
      <c r="P195" s="259"/>
      <c r="Y195" s="97"/>
      <c r="Z195" s="97"/>
      <c r="AA195" s="97"/>
      <c r="AB195" s="97"/>
      <c r="AC195" s="97"/>
      <c r="AD195" s="97"/>
    </row>
    <row r="196" spans="1:30" ht="15.75" thickBot="1" x14ac:dyDescent="0.3">
      <c r="A196" s="304">
        <v>194</v>
      </c>
      <c r="B196" s="283"/>
      <c r="C196" s="284"/>
      <c r="D196" s="278"/>
      <c r="E196" s="280"/>
      <c r="F196" s="280"/>
      <c r="G196" s="280"/>
      <c r="H196" s="278"/>
      <c r="I196" s="278"/>
      <c r="J196" s="278"/>
      <c r="K196" s="280"/>
      <c r="L196" s="281"/>
      <c r="M196" s="285"/>
      <c r="N196" s="282"/>
      <c r="O196" s="302"/>
      <c r="P196" s="259"/>
      <c r="X196" s="78" t="s">
        <v>1</v>
      </c>
      <c r="Y196" s="97"/>
      <c r="Z196" s="97"/>
      <c r="AA196" s="97"/>
      <c r="AB196" s="97"/>
      <c r="AC196" s="97"/>
      <c r="AD196" s="97"/>
    </row>
    <row r="197" spans="1:30" ht="15.75" thickBot="1" x14ac:dyDescent="0.3">
      <c r="A197" s="304">
        <v>195</v>
      </c>
      <c r="B197" s="283"/>
      <c r="C197" s="284"/>
      <c r="D197" s="278"/>
      <c r="E197" s="280"/>
      <c r="F197" s="280"/>
      <c r="G197" s="280"/>
      <c r="H197" s="278"/>
      <c r="I197" s="278"/>
      <c r="J197" s="278"/>
      <c r="K197" s="280"/>
      <c r="L197" s="281"/>
      <c r="M197" s="285"/>
      <c r="N197" s="282"/>
      <c r="O197" s="302"/>
      <c r="P197" s="259"/>
      <c r="X197" s="88" t="s">
        <v>0</v>
      </c>
      <c r="Y197" s="97">
        <f>COUNTIFS($B:$B,"ALLENTOWN",$C:$C,"LIRS")</f>
        <v>5</v>
      </c>
      <c r="Z197" s="97"/>
      <c r="AA197" s="97"/>
      <c r="AB197" s="97"/>
      <c r="AC197" s="97"/>
      <c r="AD197" s="97"/>
    </row>
    <row r="198" spans="1:30" ht="15.75" thickBot="1" x14ac:dyDescent="0.3">
      <c r="A198" s="304">
        <v>196</v>
      </c>
      <c r="B198" s="283"/>
      <c r="C198" s="284"/>
      <c r="D198" s="278"/>
      <c r="E198" s="280"/>
      <c r="F198" s="280"/>
      <c r="G198" s="280"/>
      <c r="H198" s="278"/>
      <c r="I198" s="278"/>
      <c r="J198" s="278"/>
      <c r="K198" s="280"/>
      <c r="L198" s="281"/>
      <c r="M198" s="285"/>
      <c r="N198" s="282"/>
      <c r="O198" s="302"/>
      <c r="P198" s="259"/>
      <c r="X198" s="119" t="s">
        <v>253</v>
      </c>
      <c r="Y198" s="119"/>
      <c r="Z198" s="97"/>
      <c r="AA198" s="97"/>
      <c r="AB198" s="132"/>
      <c r="AC198" s="132"/>
      <c r="AD198" s="132"/>
    </row>
    <row r="199" spans="1:30" ht="15.75" thickBot="1" x14ac:dyDescent="0.3">
      <c r="A199" s="304">
        <v>197</v>
      </c>
      <c r="B199" s="283"/>
      <c r="C199" s="284"/>
      <c r="D199" s="278"/>
      <c r="E199" s="280"/>
      <c r="F199" s="280"/>
      <c r="G199" s="280"/>
      <c r="H199" s="278"/>
      <c r="I199" s="278"/>
      <c r="J199" s="278"/>
      <c r="K199" s="280"/>
      <c r="L199" s="281"/>
      <c r="M199" s="285"/>
      <c r="N199" s="282"/>
      <c r="O199" s="302"/>
      <c r="P199" s="259"/>
      <c r="Y199" s="97"/>
      <c r="Z199" s="119">
        <f>SUM(Y182:Y197)</f>
        <v>16</v>
      </c>
      <c r="AA199" s="132"/>
      <c r="AB199" s="97"/>
      <c r="AC199" s="97"/>
      <c r="AD199" s="97"/>
    </row>
    <row r="200" spans="1:30" x14ac:dyDescent="0.25">
      <c r="A200" s="304">
        <v>198</v>
      </c>
      <c r="B200" s="283"/>
      <c r="C200" s="284"/>
      <c r="D200" s="278"/>
      <c r="E200" s="280"/>
      <c r="F200" s="280"/>
      <c r="G200" s="280"/>
      <c r="H200" s="278"/>
      <c r="I200" s="278"/>
      <c r="J200" s="278"/>
      <c r="K200" s="280"/>
      <c r="L200" s="281"/>
      <c r="M200" s="285"/>
      <c r="N200" s="282"/>
      <c r="O200" s="302"/>
      <c r="P200" s="259"/>
      <c r="Y200" s="97"/>
      <c r="Z200" s="97"/>
      <c r="AA200" s="97"/>
    </row>
    <row r="201" spans="1:30" x14ac:dyDescent="0.25">
      <c r="A201" s="304">
        <v>199</v>
      </c>
      <c r="B201" s="283"/>
      <c r="C201" s="284"/>
      <c r="D201" s="278"/>
      <c r="E201" s="280"/>
      <c r="F201" s="280"/>
      <c r="G201" s="280"/>
      <c r="H201" s="278"/>
      <c r="I201" s="278"/>
      <c r="J201" s="278"/>
      <c r="K201" s="280"/>
      <c r="L201" s="281"/>
      <c r="M201" s="285"/>
      <c r="N201" s="282"/>
      <c r="O201" s="302"/>
      <c r="P201" s="259"/>
      <c r="Y201" s="97"/>
      <c r="AB201" s="97"/>
      <c r="AC201" s="97"/>
      <c r="AD201" s="97"/>
    </row>
    <row r="202" spans="1:30" x14ac:dyDescent="0.25">
      <c r="A202" s="304">
        <v>200</v>
      </c>
      <c r="B202" s="283"/>
      <c r="C202" s="284"/>
      <c r="D202" s="278"/>
      <c r="E202" s="280"/>
      <c r="F202" s="280"/>
      <c r="G202" s="280"/>
      <c r="H202" s="278"/>
      <c r="I202" s="278"/>
      <c r="J202" s="278"/>
      <c r="K202" s="280"/>
      <c r="L202" s="281"/>
      <c r="M202" s="285"/>
      <c r="N202" s="282"/>
      <c r="O202" s="302"/>
      <c r="P202" s="259"/>
      <c r="Y202" s="97"/>
      <c r="Z202" s="97"/>
      <c r="AA202" s="97"/>
      <c r="AB202" s="97"/>
      <c r="AC202" s="97"/>
      <c r="AD202" s="97"/>
    </row>
    <row r="203" spans="1:30" ht="15.75" thickBot="1" x14ac:dyDescent="0.3">
      <c r="A203" s="304">
        <v>201</v>
      </c>
      <c r="B203" s="283"/>
      <c r="C203" s="284"/>
      <c r="D203" s="278"/>
      <c r="E203" s="280"/>
      <c r="F203" s="280"/>
      <c r="G203" s="280"/>
      <c r="H203" s="278"/>
      <c r="I203" s="278"/>
      <c r="J203" s="278"/>
      <c r="K203" s="280"/>
      <c r="L203" s="281"/>
      <c r="M203" s="285"/>
      <c r="N203" s="282"/>
      <c r="O203" s="302"/>
      <c r="P203" s="259"/>
      <c r="Y203" s="97"/>
      <c r="Z203" s="97"/>
      <c r="AA203" s="97"/>
      <c r="AB203" s="97"/>
      <c r="AC203" s="97"/>
      <c r="AD203" s="97"/>
    </row>
    <row r="204" spans="1:30" ht="15.75" thickBot="1" x14ac:dyDescent="0.3">
      <c r="A204" s="304">
        <v>202</v>
      </c>
      <c r="B204" s="283"/>
      <c r="C204" s="284"/>
      <c r="D204" s="278"/>
      <c r="E204" s="280"/>
      <c r="F204" s="280"/>
      <c r="G204" s="280"/>
      <c r="H204" s="278"/>
      <c r="I204" s="278"/>
      <c r="J204" s="278"/>
      <c r="K204" s="280"/>
      <c r="L204" s="281"/>
      <c r="M204" s="285"/>
      <c r="N204" s="282"/>
      <c r="O204" s="302"/>
      <c r="P204" s="259"/>
      <c r="X204" s="113" t="s">
        <v>54</v>
      </c>
      <c r="Y204" s="97"/>
      <c r="Z204" s="97"/>
      <c r="AA204" s="97"/>
      <c r="AB204" s="97"/>
      <c r="AC204" s="97"/>
      <c r="AD204" s="97"/>
    </row>
    <row r="205" spans="1:30" ht="15.75" thickBot="1" x14ac:dyDescent="0.3">
      <c r="A205" s="304">
        <v>203</v>
      </c>
      <c r="B205" s="278"/>
      <c r="C205" s="279"/>
      <c r="D205" s="278"/>
      <c r="E205" s="280"/>
      <c r="F205" s="280"/>
      <c r="G205" s="280"/>
      <c r="H205" s="278"/>
      <c r="I205" s="278"/>
      <c r="J205" s="278"/>
      <c r="K205" s="280"/>
      <c r="L205" s="281"/>
      <c r="M205" s="280"/>
      <c r="N205" s="282"/>
      <c r="O205" s="281"/>
      <c r="P205" s="259"/>
      <c r="Y205" s="97"/>
      <c r="Z205" s="97"/>
      <c r="AA205" s="97"/>
      <c r="AB205" s="97"/>
      <c r="AC205" s="97"/>
      <c r="AD205" s="97"/>
    </row>
    <row r="206" spans="1:30" ht="15.75" thickBot="1" x14ac:dyDescent="0.3">
      <c r="A206" s="304">
        <v>204</v>
      </c>
      <c r="B206" s="278"/>
      <c r="C206" s="279"/>
      <c r="D206" s="278"/>
      <c r="E206" s="280"/>
      <c r="F206" s="280"/>
      <c r="G206" s="280"/>
      <c r="H206" s="278"/>
      <c r="I206" s="278"/>
      <c r="J206" s="278"/>
      <c r="K206" s="280"/>
      <c r="L206" s="281"/>
      <c r="M206" s="280"/>
      <c r="N206" s="282"/>
      <c r="O206" s="281"/>
      <c r="P206" s="259"/>
      <c r="X206" s="80" t="s">
        <v>3</v>
      </c>
      <c r="Y206" s="97"/>
      <c r="Z206" s="97"/>
      <c r="AA206" s="97"/>
      <c r="AB206" s="97"/>
      <c r="AC206" s="97"/>
      <c r="AD206" s="97"/>
    </row>
    <row r="207" spans="1:30" ht="15.75" thickBot="1" x14ac:dyDescent="0.3">
      <c r="A207" s="304">
        <v>205</v>
      </c>
      <c r="B207" s="278"/>
      <c r="C207" s="279"/>
      <c r="D207" s="278"/>
      <c r="E207" s="280"/>
      <c r="F207" s="280"/>
      <c r="G207" s="280"/>
      <c r="H207" s="278"/>
      <c r="I207" s="278"/>
      <c r="J207" s="278"/>
      <c r="K207" s="280"/>
      <c r="L207" s="281"/>
      <c r="M207" s="280"/>
      <c r="N207" s="282"/>
      <c r="O207" s="281"/>
      <c r="P207" s="259"/>
      <c r="X207" s="89" t="s">
        <v>4</v>
      </c>
      <c r="Y207" s="97">
        <f>COUNTIFS($B:$B,"ERIE",$C:$C,"USCCB")</f>
        <v>4</v>
      </c>
      <c r="Z207" s="97"/>
      <c r="AA207" s="97"/>
      <c r="AB207" s="97"/>
      <c r="AC207" s="97"/>
      <c r="AD207" s="97"/>
    </row>
    <row r="208" spans="1:30" x14ac:dyDescent="0.25">
      <c r="A208" s="304">
        <v>206</v>
      </c>
      <c r="B208" s="278"/>
      <c r="C208" s="279"/>
      <c r="D208" s="278"/>
      <c r="E208" s="280"/>
      <c r="F208" s="280"/>
      <c r="G208" s="280"/>
      <c r="H208" s="278"/>
      <c r="I208" s="278"/>
      <c r="J208" s="278"/>
      <c r="K208" s="280"/>
      <c r="L208" s="281"/>
      <c r="M208" s="280"/>
      <c r="N208" s="282"/>
      <c r="O208" s="281"/>
      <c r="P208" s="259"/>
      <c r="X208" s="104"/>
      <c r="Y208" s="97"/>
      <c r="Z208" s="97"/>
      <c r="AA208" s="97"/>
      <c r="AB208" s="97"/>
      <c r="AC208" s="97"/>
      <c r="AD208" s="97"/>
    </row>
    <row r="209" spans="1:30" x14ac:dyDescent="0.25">
      <c r="A209" s="304">
        <v>207</v>
      </c>
      <c r="B209" s="278"/>
      <c r="C209" s="279"/>
      <c r="D209" s="278"/>
      <c r="E209" s="280"/>
      <c r="F209" s="280"/>
      <c r="G209" s="280"/>
      <c r="H209" s="278"/>
      <c r="I209" s="278"/>
      <c r="J209" s="278"/>
      <c r="K209" s="280"/>
      <c r="L209" s="281"/>
      <c r="M209" s="280"/>
      <c r="N209" s="282"/>
      <c r="O209" s="281"/>
      <c r="P209" s="259"/>
      <c r="X209" s="105"/>
      <c r="Y209" s="97"/>
      <c r="Z209" s="97"/>
      <c r="AA209" s="97"/>
      <c r="AB209" s="97"/>
      <c r="AC209" s="97"/>
      <c r="AD209" s="97"/>
    </row>
    <row r="210" spans="1:30" x14ac:dyDescent="0.25">
      <c r="A210" s="304">
        <v>208</v>
      </c>
      <c r="B210" s="278"/>
      <c r="C210" s="279"/>
      <c r="D210" s="278"/>
      <c r="E210" s="280"/>
      <c r="F210" s="280"/>
      <c r="G210" s="280"/>
      <c r="H210" s="278"/>
      <c r="I210" s="278"/>
      <c r="J210" s="278"/>
      <c r="K210" s="280"/>
      <c r="L210" s="281"/>
      <c r="M210" s="280"/>
      <c r="N210" s="282"/>
      <c r="O210" s="281"/>
      <c r="P210" s="259"/>
      <c r="Y210" s="97"/>
      <c r="Z210" s="97"/>
      <c r="AA210" s="97"/>
      <c r="AB210" s="97"/>
      <c r="AC210" s="97"/>
      <c r="AD210" s="97"/>
    </row>
    <row r="211" spans="1:30" x14ac:dyDescent="0.25">
      <c r="A211" s="304">
        <v>209</v>
      </c>
      <c r="B211" s="278"/>
      <c r="C211" s="279"/>
      <c r="D211" s="278"/>
      <c r="E211" s="280"/>
      <c r="F211" s="280"/>
      <c r="G211" s="280"/>
      <c r="H211" s="278"/>
      <c r="I211" s="278"/>
      <c r="J211" s="278"/>
      <c r="K211" s="280"/>
      <c r="L211" s="281"/>
      <c r="M211" s="280"/>
      <c r="N211" s="282"/>
      <c r="O211" s="281"/>
      <c r="P211" s="259"/>
      <c r="Y211" s="97"/>
      <c r="Z211" s="97"/>
      <c r="AA211" s="97"/>
      <c r="AB211" s="97"/>
      <c r="AC211" s="97"/>
      <c r="AD211" s="97"/>
    </row>
    <row r="212" spans="1:30" x14ac:dyDescent="0.25">
      <c r="A212" s="304">
        <v>210</v>
      </c>
      <c r="B212" s="278"/>
      <c r="C212" s="279"/>
      <c r="D212" s="278"/>
      <c r="E212" s="280"/>
      <c r="F212" s="280"/>
      <c r="G212" s="280"/>
      <c r="H212" s="278"/>
      <c r="I212" s="278"/>
      <c r="J212" s="278"/>
      <c r="K212" s="280"/>
      <c r="L212" s="281"/>
      <c r="M212" s="280"/>
      <c r="N212" s="282"/>
      <c r="O212" s="281"/>
      <c r="P212" s="259"/>
      <c r="Y212" s="97"/>
      <c r="Z212" s="97"/>
      <c r="AA212" s="97"/>
      <c r="AB212" s="97"/>
      <c r="AC212" s="97"/>
      <c r="AD212" s="97"/>
    </row>
    <row r="213" spans="1:30" ht="15.75" thickBot="1" x14ac:dyDescent="0.3">
      <c r="A213" s="304">
        <v>211</v>
      </c>
      <c r="B213" s="278"/>
      <c r="C213" s="279"/>
      <c r="D213" s="278"/>
      <c r="E213" s="280"/>
      <c r="F213" s="280"/>
      <c r="G213" s="280"/>
      <c r="H213" s="278"/>
      <c r="I213" s="278"/>
      <c r="J213" s="278"/>
      <c r="K213" s="280"/>
      <c r="L213" s="281"/>
      <c r="M213" s="280"/>
      <c r="N213" s="282"/>
      <c r="O213" s="281"/>
      <c r="P213" s="259"/>
      <c r="Y213" s="97"/>
      <c r="Z213" s="97"/>
      <c r="AA213" s="97"/>
      <c r="AB213" s="97"/>
      <c r="AC213" s="97"/>
      <c r="AD213" s="97"/>
    </row>
    <row r="214" spans="1:30" ht="15.75" thickBot="1" x14ac:dyDescent="0.3">
      <c r="A214" s="304">
        <v>212</v>
      </c>
      <c r="B214" s="278"/>
      <c r="C214" s="279"/>
      <c r="D214" s="278"/>
      <c r="E214" s="280"/>
      <c r="F214" s="280"/>
      <c r="G214" s="280"/>
      <c r="H214" s="278"/>
      <c r="I214" s="278"/>
      <c r="J214" s="278"/>
      <c r="K214" s="280"/>
      <c r="L214" s="281"/>
      <c r="M214" s="280"/>
      <c r="N214" s="282"/>
      <c r="O214" s="281"/>
      <c r="P214" s="259"/>
      <c r="X214" s="80" t="s">
        <v>5</v>
      </c>
      <c r="Y214" s="97"/>
      <c r="Z214" s="97"/>
      <c r="AA214" s="97"/>
      <c r="AB214" s="97"/>
      <c r="AC214" s="97"/>
      <c r="AD214" s="97"/>
    </row>
    <row r="215" spans="1:30" ht="15.75" thickBot="1" x14ac:dyDescent="0.3">
      <c r="A215" s="304">
        <v>213</v>
      </c>
      <c r="B215" s="278"/>
      <c r="C215" s="279"/>
      <c r="D215" s="278"/>
      <c r="E215" s="280"/>
      <c r="F215" s="280"/>
      <c r="G215" s="280"/>
      <c r="H215" s="278"/>
      <c r="I215" s="278"/>
      <c r="J215" s="278"/>
      <c r="K215" s="280"/>
      <c r="L215" s="281"/>
      <c r="M215" s="280"/>
      <c r="N215" s="282"/>
      <c r="O215" s="281"/>
      <c r="P215" s="259"/>
      <c r="X215" s="89" t="s">
        <v>4</v>
      </c>
      <c r="Y215" s="97">
        <f>COUNTIFS($B:$B,"ERIE",$C:$C,"USCRI")</f>
        <v>14</v>
      </c>
      <c r="Z215" s="97"/>
      <c r="AA215" s="97"/>
      <c r="AB215" s="97"/>
      <c r="AC215" s="97"/>
      <c r="AD215" s="97"/>
    </row>
    <row r="216" spans="1:30" ht="15.75" thickBot="1" x14ac:dyDescent="0.3">
      <c r="A216" s="304">
        <v>214</v>
      </c>
      <c r="B216" s="278"/>
      <c r="C216" s="279"/>
      <c r="D216" s="278"/>
      <c r="E216" s="280"/>
      <c r="F216" s="280"/>
      <c r="G216" s="280"/>
      <c r="H216" s="278"/>
      <c r="I216" s="278"/>
      <c r="J216" s="278"/>
      <c r="K216" s="280"/>
      <c r="L216" s="281"/>
      <c r="M216" s="280"/>
      <c r="N216" s="282"/>
      <c r="O216" s="281"/>
      <c r="P216" s="259"/>
      <c r="X216" s="89" t="s">
        <v>91</v>
      </c>
      <c r="Y216" s="97">
        <f>COUNTIFS($B:$B,"GIRARD",$C:$C,"USCRI")</f>
        <v>0</v>
      </c>
      <c r="Z216" s="97"/>
      <c r="AA216" s="97"/>
      <c r="AB216" s="97"/>
      <c r="AC216" s="97"/>
      <c r="AD216" s="97"/>
    </row>
    <row r="217" spans="1:30" ht="15.75" thickBot="1" x14ac:dyDescent="0.3">
      <c r="A217" s="304">
        <v>215</v>
      </c>
      <c r="B217" s="278"/>
      <c r="C217" s="279"/>
      <c r="D217" s="278"/>
      <c r="E217" s="280"/>
      <c r="F217" s="280"/>
      <c r="G217" s="280"/>
      <c r="H217" s="278"/>
      <c r="I217" s="278"/>
      <c r="J217" s="278"/>
      <c r="K217" s="280"/>
      <c r="L217" s="281"/>
      <c r="M217" s="280"/>
      <c r="N217" s="282"/>
      <c r="O217" s="281"/>
      <c r="P217" s="259"/>
      <c r="X217" s="119" t="s">
        <v>254</v>
      </c>
      <c r="Y217" s="119"/>
      <c r="Z217" s="97"/>
      <c r="AA217" s="97"/>
      <c r="AB217" s="132"/>
      <c r="AC217" s="132"/>
      <c r="AD217" s="132"/>
    </row>
    <row r="218" spans="1:30" ht="15.75" thickBot="1" x14ac:dyDescent="0.3">
      <c r="A218" s="304">
        <v>216</v>
      </c>
      <c r="B218" s="278"/>
      <c r="C218" s="279"/>
      <c r="D218" s="278"/>
      <c r="E218" s="280"/>
      <c r="F218" s="280"/>
      <c r="G218" s="280"/>
      <c r="H218" s="278"/>
      <c r="I218" s="278"/>
      <c r="J218" s="278"/>
      <c r="K218" s="280"/>
      <c r="L218" s="281"/>
      <c r="M218" s="280"/>
      <c r="N218" s="282"/>
      <c r="O218" s="281"/>
      <c r="P218" s="259"/>
      <c r="Z218" s="119">
        <f>SUM(Y207:Y216)</f>
        <v>18</v>
      </c>
      <c r="AA218" s="132"/>
      <c r="AB218" s="97"/>
      <c r="AC218" s="97"/>
      <c r="AD218" s="97"/>
    </row>
    <row r="219" spans="1:30" ht="15.75" thickBot="1" x14ac:dyDescent="0.3">
      <c r="A219" s="304">
        <v>217</v>
      </c>
      <c r="B219" s="278"/>
      <c r="C219" s="279"/>
      <c r="D219" s="278"/>
      <c r="E219" s="280"/>
      <c r="F219" s="280"/>
      <c r="G219" s="280"/>
      <c r="H219" s="278"/>
      <c r="I219" s="278"/>
      <c r="J219" s="278"/>
      <c r="K219" s="280"/>
      <c r="L219" s="281"/>
      <c r="M219" s="280"/>
      <c r="N219" s="282"/>
      <c r="O219" s="281"/>
      <c r="P219" s="259"/>
      <c r="X219" s="120" t="s">
        <v>40</v>
      </c>
      <c r="Y219" s="313">
        <f>SUM(Y9:Y218)</f>
        <v>178</v>
      </c>
      <c r="Z219" s="97"/>
      <c r="AA219" s="97"/>
    </row>
    <row r="220" spans="1:30" x14ac:dyDescent="0.25">
      <c r="A220" s="304">
        <v>218</v>
      </c>
      <c r="B220" s="278"/>
      <c r="C220" s="279"/>
      <c r="D220" s="278"/>
      <c r="E220" s="280"/>
      <c r="F220" s="280"/>
      <c r="G220" s="280"/>
      <c r="H220" s="278"/>
      <c r="I220" s="278"/>
      <c r="J220" s="278"/>
      <c r="K220" s="280"/>
      <c r="L220" s="281"/>
      <c r="M220" s="280"/>
      <c r="N220" s="282"/>
      <c r="O220" s="281"/>
      <c r="P220" s="259"/>
    </row>
    <row r="221" spans="1:30" x14ac:dyDescent="0.25">
      <c r="A221" s="304">
        <v>219</v>
      </c>
      <c r="B221" s="278"/>
      <c r="C221" s="279"/>
      <c r="D221" s="278"/>
      <c r="E221" s="280"/>
      <c r="F221" s="280"/>
      <c r="G221" s="280"/>
      <c r="H221" s="278"/>
      <c r="I221" s="278"/>
      <c r="J221" s="278"/>
      <c r="K221" s="280"/>
      <c r="L221" s="281"/>
      <c r="M221" s="280"/>
      <c r="N221" s="282"/>
      <c r="O221" s="281"/>
      <c r="P221" s="259"/>
      <c r="AB221" s="97"/>
      <c r="AC221" s="97"/>
      <c r="AD221" s="97"/>
    </row>
    <row r="222" spans="1:30" x14ac:dyDescent="0.25">
      <c r="A222" s="304">
        <v>220</v>
      </c>
      <c r="B222" s="278"/>
      <c r="C222" s="279"/>
      <c r="D222" s="278"/>
      <c r="E222" s="280"/>
      <c r="F222" s="280"/>
      <c r="G222" s="280"/>
      <c r="H222" s="278"/>
      <c r="I222" s="278"/>
      <c r="J222" s="278"/>
      <c r="K222" s="280"/>
      <c r="L222" s="281"/>
      <c r="M222" s="280"/>
      <c r="N222" s="282"/>
      <c r="O222" s="281"/>
      <c r="P222" s="259"/>
      <c r="Z222" s="97"/>
      <c r="AA222" s="97"/>
    </row>
    <row r="223" spans="1:30" x14ac:dyDescent="0.25">
      <c r="A223" s="304">
        <v>221</v>
      </c>
      <c r="B223" s="278"/>
      <c r="C223" s="279"/>
      <c r="D223" s="278"/>
      <c r="E223" s="280"/>
      <c r="F223" s="280"/>
      <c r="G223" s="280"/>
      <c r="H223" s="278"/>
      <c r="I223" s="278"/>
      <c r="J223" s="278"/>
      <c r="K223" s="280"/>
      <c r="L223" s="281"/>
      <c r="M223" s="280"/>
      <c r="N223" s="282"/>
      <c r="O223" s="281"/>
      <c r="P223" s="259"/>
    </row>
    <row r="224" spans="1:30" x14ac:dyDescent="0.25">
      <c r="A224" s="304">
        <v>222</v>
      </c>
      <c r="B224" s="278"/>
      <c r="C224" s="279"/>
      <c r="D224" s="278"/>
      <c r="E224" s="280"/>
      <c r="F224" s="280"/>
      <c r="G224" s="280"/>
      <c r="H224" s="278"/>
      <c r="I224" s="278"/>
      <c r="J224" s="278"/>
      <c r="K224" s="280"/>
      <c r="L224" s="281"/>
      <c r="M224" s="280"/>
      <c r="N224" s="282"/>
      <c r="O224" s="281"/>
      <c r="P224" s="259"/>
    </row>
    <row r="225" spans="1:16" x14ac:dyDescent="0.25">
      <c r="A225" s="304">
        <v>223</v>
      </c>
      <c r="B225" s="278"/>
      <c r="C225" s="279"/>
      <c r="D225" s="278"/>
      <c r="E225" s="280"/>
      <c r="F225" s="280"/>
      <c r="G225" s="280"/>
      <c r="H225" s="278"/>
      <c r="I225" s="278"/>
      <c r="J225" s="278"/>
      <c r="K225" s="280"/>
      <c r="L225" s="281"/>
      <c r="M225" s="280"/>
      <c r="N225" s="282"/>
      <c r="O225" s="281"/>
      <c r="P225" s="259"/>
    </row>
    <row r="226" spans="1:16" x14ac:dyDescent="0.25">
      <c r="A226" s="304">
        <v>224</v>
      </c>
      <c r="B226" s="297"/>
      <c r="C226" s="288"/>
      <c r="D226" s="278"/>
      <c r="E226" s="280"/>
      <c r="F226" s="280"/>
      <c r="G226" s="280"/>
      <c r="H226" s="278"/>
      <c r="I226" s="278"/>
      <c r="J226" s="278"/>
      <c r="K226" s="280"/>
      <c r="L226" s="281"/>
      <c r="M226" s="280"/>
      <c r="N226" s="282"/>
      <c r="O226" s="281"/>
      <c r="P226" s="259"/>
    </row>
    <row r="227" spans="1:16" x14ac:dyDescent="0.25">
      <c r="A227" s="304">
        <v>225</v>
      </c>
      <c r="B227" s="278"/>
      <c r="C227" s="279"/>
      <c r="D227" s="278"/>
      <c r="E227" s="280"/>
      <c r="F227" s="280"/>
      <c r="G227" s="280"/>
      <c r="H227" s="278"/>
      <c r="I227" s="278"/>
      <c r="J227" s="278"/>
      <c r="K227" s="280"/>
      <c r="L227" s="281"/>
      <c r="M227" s="280"/>
      <c r="N227" s="282"/>
      <c r="O227" s="281"/>
      <c r="P227" s="259"/>
    </row>
    <row r="228" spans="1:16" x14ac:dyDescent="0.25">
      <c r="A228" s="304">
        <v>226</v>
      </c>
      <c r="B228" s="278"/>
      <c r="C228" s="279"/>
      <c r="D228" s="278"/>
      <c r="E228" s="280"/>
      <c r="F228" s="280"/>
      <c r="G228" s="280"/>
      <c r="H228" s="278"/>
      <c r="I228" s="278"/>
      <c r="J228" s="278"/>
      <c r="K228" s="280"/>
      <c r="L228" s="281"/>
      <c r="M228" s="280"/>
      <c r="N228" s="282"/>
      <c r="O228" s="281"/>
      <c r="P228" s="259"/>
    </row>
    <row r="229" spans="1:16" x14ac:dyDescent="0.25">
      <c r="A229" s="304">
        <v>227</v>
      </c>
      <c r="B229" s="278"/>
      <c r="C229" s="279"/>
      <c r="D229" s="278"/>
      <c r="E229" s="280"/>
      <c r="F229" s="280"/>
      <c r="G229" s="280"/>
      <c r="H229" s="278"/>
      <c r="I229" s="278"/>
      <c r="J229" s="278"/>
      <c r="K229" s="280"/>
      <c r="L229" s="281"/>
      <c r="M229" s="280"/>
      <c r="N229" s="282"/>
      <c r="O229" s="281"/>
      <c r="P229" s="259"/>
    </row>
    <row r="230" spans="1:16" x14ac:dyDescent="0.25">
      <c r="A230" s="304">
        <v>228</v>
      </c>
      <c r="B230" s="278"/>
      <c r="C230" s="279"/>
      <c r="D230" s="278"/>
      <c r="E230" s="280"/>
      <c r="F230" s="280"/>
      <c r="G230" s="280"/>
      <c r="H230" s="278"/>
      <c r="I230" s="278"/>
      <c r="J230" s="278"/>
      <c r="K230" s="280"/>
      <c r="L230" s="281"/>
      <c r="M230" s="280"/>
      <c r="N230" s="282"/>
      <c r="O230" s="281"/>
      <c r="P230" s="259"/>
    </row>
    <row r="231" spans="1:16" x14ac:dyDescent="0.25">
      <c r="A231" s="304">
        <v>229</v>
      </c>
      <c r="B231" s="278"/>
      <c r="C231" s="279"/>
      <c r="D231" s="278"/>
      <c r="E231" s="280"/>
      <c r="F231" s="280"/>
      <c r="G231" s="280"/>
      <c r="H231" s="278"/>
      <c r="I231" s="278"/>
      <c r="J231" s="278"/>
      <c r="K231" s="280"/>
      <c r="L231" s="281"/>
      <c r="M231" s="280"/>
      <c r="N231" s="282"/>
      <c r="O231" s="281"/>
      <c r="P231" s="259"/>
    </row>
    <row r="232" spans="1:16" x14ac:dyDescent="0.25">
      <c r="A232" s="304">
        <v>230</v>
      </c>
      <c r="B232" s="283"/>
      <c r="C232" s="284"/>
      <c r="D232" s="283"/>
      <c r="E232" s="285"/>
      <c r="F232" s="285"/>
      <c r="G232" s="285"/>
      <c r="H232" s="283"/>
      <c r="I232" s="283"/>
      <c r="J232" s="283"/>
      <c r="K232" s="285"/>
      <c r="L232" s="286"/>
      <c r="M232" s="285"/>
      <c r="N232" s="287"/>
      <c r="O232" s="286"/>
    </row>
    <row r="233" spans="1:16" x14ac:dyDescent="0.25">
      <c r="A233" s="304">
        <v>231</v>
      </c>
      <c r="B233" s="283"/>
      <c r="C233" s="284"/>
      <c r="D233" s="283"/>
      <c r="E233" s="285"/>
      <c r="F233" s="285"/>
      <c r="G233" s="285"/>
      <c r="H233" s="283"/>
      <c r="I233" s="283"/>
      <c r="J233" s="283"/>
      <c r="K233" s="285"/>
      <c r="L233" s="286"/>
      <c r="M233" s="285"/>
      <c r="N233" s="287"/>
      <c r="O233" s="286"/>
    </row>
    <row r="234" spans="1:16" x14ac:dyDescent="0.25">
      <c r="A234" s="304">
        <v>232</v>
      </c>
      <c r="B234" s="283"/>
      <c r="C234" s="284"/>
      <c r="D234" s="283"/>
      <c r="E234" s="285"/>
      <c r="F234" s="285"/>
      <c r="G234" s="285"/>
      <c r="H234" s="283"/>
      <c r="I234" s="283"/>
      <c r="J234" s="283"/>
      <c r="K234" s="285"/>
      <c r="L234" s="286"/>
      <c r="M234" s="285"/>
      <c r="N234" s="287"/>
      <c r="O234" s="286"/>
    </row>
    <row r="235" spans="1:16" x14ac:dyDescent="0.25">
      <c r="A235" s="304">
        <v>233</v>
      </c>
      <c r="B235" s="283"/>
      <c r="C235" s="284"/>
      <c r="D235" s="283"/>
      <c r="E235" s="285"/>
      <c r="F235" s="285"/>
      <c r="G235" s="285"/>
      <c r="H235" s="283"/>
      <c r="I235" s="283"/>
      <c r="J235" s="283"/>
      <c r="K235" s="285"/>
      <c r="L235" s="286"/>
      <c r="M235" s="285"/>
      <c r="N235" s="287"/>
      <c r="O235" s="286"/>
    </row>
    <row r="236" spans="1:16" x14ac:dyDescent="0.25">
      <c r="A236" s="304">
        <v>234</v>
      </c>
      <c r="B236" s="283"/>
      <c r="C236" s="284"/>
      <c r="D236" s="283"/>
      <c r="E236" s="285"/>
      <c r="F236" s="285"/>
      <c r="G236" s="285"/>
      <c r="H236" s="283"/>
      <c r="I236" s="283"/>
      <c r="J236" s="283"/>
      <c r="K236" s="285"/>
      <c r="L236" s="286"/>
      <c r="M236" s="285"/>
      <c r="N236" s="287"/>
      <c r="O236" s="286"/>
    </row>
    <row r="237" spans="1:16" x14ac:dyDescent="0.25">
      <c r="A237" s="304">
        <v>235</v>
      </c>
      <c r="B237" s="283"/>
      <c r="C237" s="284"/>
      <c r="D237" s="283"/>
      <c r="E237" s="285"/>
      <c r="F237" s="285"/>
      <c r="G237" s="285"/>
      <c r="H237" s="283"/>
      <c r="I237" s="283"/>
      <c r="J237" s="283"/>
      <c r="K237" s="285"/>
      <c r="L237" s="286"/>
      <c r="M237" s="285"/>
      <c r="N237" s="287"/>
      <c r="O237" s="286"/>
    </row>
    <row r="238" spans="1:16" x14ac:dyDescent="0.25">
      <c r="A238" s="304">
        <v>236</v>
      </c>
      <c r="B238" s="283"/>
      <c r="C238" s="284"/>
      <c r="D238" s="283"/>
      <c r="E238" s="285"/>
      <c r="F238" s="285"/>
      <c r="G238" s="285"/>
      <c r="H238" s="283"/>
      <c r="I238" s="283"/>
      <c r="J238" s="283"/>
      <c r="K238" s="285"/>
      <c r="L238" s="286"/>
      <c r="M238" s="285"/>
      <c r="N238" s="287"/>
      <c r="O238" s="286"/>
    </row>
    <row r="239" spans="1:16" x14ac:dyDescent="0.25">
      <c r="A239" s="304">
        <v>237</v>
      </c>
      <c r="B239" s="283"/>
      <c r="C239" s="284"/>
      <c r="D239" s="283"/>
      <c r="E239" s="285"/>
      <c r="F239" s="285"/>
      <c r="G239" s="285"/>
      <c r="H239" s="283"/>
      <c r="I239" s="283"/>
      <c r="J239" s="283"/>
      <c r="K239" s="285"/>
      <c r="L239" s="286"/>
      <c r="M239" s="285"/>
      <c r="N239" s="287"/>
      <c r="O239" s="286"/>
    </row>
    <row r="240" spans="1:16" x14ac:dyDescent="0.25">
      <c r="A240" s="304">
        <v>238</v>
      </c>
      <c r="B240" s="283"/>
      <c r="C240" s="284"/>
      <c r="D240" s="283"/>
      <c r="E240" s="285"/>
      <c r="F240" s="285"/>
      <c r="G240" s="285"/>
      <c r="H240" s="283"/>
      <c r="I240" s="283"/>
      <c r="J240" s="283"/>
      <c r="K240" s="285"/>
      <c r="L240" s="286"/>
      <c r="M240" s="285"/>
      <c r="N240" s="287"/>
      <c r="O240" s="286"/>
    </row>
    <row r="241" spans="1:15" x14ac:dyDescent="0.25">
      <c r="A241" s="304">
        <v>239</v>
      </c>
      <c r="B241" s="283"/>
      <c r="C241" s="284"/>
      <c r="D241" s="283"/>
      <c r="E241" s="285"/>
      <c r="F241" s="285"/>
      <c r="G241" s="285"/>
      <c r="H241" s="283"/>
      <c r="I241" s="283"/>
      <c r="J241" s="283"/>
      <c r="K241" s="285"/>
      <c r="L241" s="286"/>
      <c r="M241" s="285"/>
      <c r="N241" s="287"/>
      <c r="O241" s="286"/>
    </row>
    <row r="242" spans="1:15" x14ac:dyDescent="0.25">
      <c r="A242" s="304">
        <v>240</v>
      </c>
      <c r="B242" s="283"/>
      <c r="C242" s="284"/>
      <c r="D242" s="283"/>
      <c r="E242" s="285"/>
      <c r="F242" s="285"/>
      <c r="G242" s="285"/>
      <c r="H242" s="283"/>
      <c r="I242" s="283"/>
      <c r="J242" s="283"/>
      <c r="K242" s="285"/>
      <c r="L242" s="286"/>
      <c r="M242" s="285"/>
      <c r="N242" s="287"/>
      <c r="O242" s="286"/>
    </row>
    <row r="243" spans="1:15" x14ac:dyDescent="0.25">
      <c r="A243" s="304">
        <v>241</v>
      </c>
      <c r="B243" s="283"/>
      <c r="C243" s="284"/>
      <c r="D243" s="283"/>
      <c r="E243" s="285"/>
      <c r="F243" s="285"/>
      <c r="G243" s="285"/>
      <c r="H243" s="283"/>
      <c r="I243" s="283"/>
      <c r="J243" s="283"/>
      <c r="K243" s="285"/>
      <c r="L243" s="286"/>
      <c r="M243" s="285"/>
      <c r="N243" s="287"/>
      <c r="O243" s="286"/>
    </row>
    <row r="244" spans="1:15" x14ac:dyDescent="0.25">
      <c r="A244" s="304">
        <v>242</v>
      </c>
      <c r="B244" s="283"/>
      <c r="C244" s="284"/>
      <c r="D244" s="283"/>
      <c r="E244" s="285"/>
      <c r="F244" s="285"/>
      <c r="G244" s="285"/>
      <c r="H244" s="283"/>
      <c r="I244" s="283"/>
      <c r="J244" s="283"/>
      <c r="K244" s="285"/>
      <c r="L244" s="286"/>
      <c r="M244" s="285"/>
      <c r="N244" s="287"/>
      <c r="O244" s="286"/>
    </row>
    <row r="245" spans="1:15" x14ac:dyDescent="0.25">
      <c r="A245" s="304">
        <v>243</v>
      </c>
      <c r="B245" s="283"/>
      <c r="C245" s="284"/>
      <c r="D245" s="283"/>
      <c r="E245" s="285"/>
      <c r="F245" s="285"/>
      <c r="G245" s="285"/>
      <c r="H245" s="283"/>
      <c r="I245" s="283"/>
      <c r="J245" s="283"/>
      <c r="K245" s="285"/>
      <c r="L245" s="286"/>
      <c r="M245" s="285"/>
      <c r="N245" s="287"/>
      <c r="O245" s="286"/>
    </row>
    <row r="246" spans="1:15" x14ac:dyDescent="0.25">
      <c r="A246" s="304">
        <v>244</v>
      </c>
      <c r="B246" s="283"/>
      <c r="C246" s="284"/>
      <c r="D246" s="283"/>
      <c r="E246" s="285"/>
      <c r="F246" s="285"/>
      <c r="G246" s="285"/>
      <c r="H246" s="283"/>
      <c r="I246" s="283"/>
      <c r="J246" s="283"/>
      <c r="K246" s="285"/>
      <c r="L246" s="286"/>
      <c r="M246" s="285"/>
      <c r="N246" s="287"/>
      <c r="O246" s="286"/>
    </row>
    <row r="247" spans="1:15" x14ac:dyDescent="0.25">
      <c r="A247" s="304">
        <v>245</v>
      </c>
      <c r="B247" s="283"/>
      <c r="C247" s="284"/>
      <c r="D247" s="283"/>
      <c r="E247" s="285"/>
      <c r="F247" s="285"/>
      <c r="G247" s="285"/>
      <c r="H247" s="283"/>
      <c r="I247" s="283"/>
      <c r="J247" s="283"/>
      <c r="K247" s="285"/>
      <c r="L247" s="286"/>
      <c r="M247" s="285"/>
      <c r="N247" s="287"/>
      <c r="O247" s="286"/>
    </row>
    <row r="248" spans="1:15" x14ac:dyDescent="0.25">
      <c r="A248" s="304">
        <v>246</v>
      </c>
      <c r="B248" s="283"/>
      <c r="C248" s="284"/>
      <c r="D248" s="283"/>
      <c r="E248" s="285"/>
      <c r="F248" s="285"/>
      <c r="G248" s="285"/>
      <c r="H248" s="283"/>
      <c r="I248" s="283"/>
      <c r="J248" s="283"/>
      <c r="K248" s="285"/>
      <c r="L248" s="286"/>
      <c r="M248" s="285"/>
      <c r="N248" s="287"/>
      <c r="O248" s="286"/>
    </row>
    <row r="249" spans="1:15" x14ac:dyDescent="0.25">
      <c r="A249" s="304">
        <v>247</v>
      </c>
      <c r="B249" s="283"/>
      <c r="C249" s="284"/>
      <c r="D249" s="283"/>
      <c r="E249" s="285"/>
      <c r="F249" s="285"/>
      <c r="G249" s="285"/>
      <c r="H249" s="283"/>
      <c r="I249" s="283"/>
      <c r="J249" s="283"/>
      <c r="K249" s="285"/>
      <c r="L249" s="286"/>
      <c r="M249" s="285"/>
      <c r="N249" s="287"/>
      <c r="O249" s="286"/>
    </row>
    <row r="250" spans="1:15" x14ac:dyDescent="0.25">
      <c r="A250" s="304">
        <v>248</v>
      </c>
      <c r="B250" s="283"/>
      <c r="C250" s="284"/>
      <c r="D250" s="283"/>
      <c r="E250" s="285"/>
      <c r="F250" s="285"/>
      <c r="G250" s="285"/>
      <c r="H250" s="283"/>
      <c r="I250" s="283"/>
      <c r="J250" s="283"/>
      <c r="K250" s="285"/>
      <c r="L250" s="286"/>
      <c r="M250" s="285"/>
      <c r="N250" s="287"/>
      <c r="O250" s="286"/>
    </row>
    <row r="251" spans="1:15" x14ac:dyDescent="0.25">
      <c r="A251" s="304">
        <v>249</v>
      </c>
      <c r="B251" s="283"/>
      <c r="C251" s="284"/>
      <c r="D251" s="283"/>
      <c r="E251" s="285"/>
      <c r="F251" s="285"/>
      <c r="G251" s="285"/>
      <c r="H251" s="283"/>
      <c r="I251" s="283"/>
      <c r="J251" s="283"/>
      <c r="K251" s="285"/>
      <c r="L251" s="286"/>
      <c r="M251" s="285"/>
      <c r="N251" s="287"/>
      <c r="O251" s="286"/>
    </row>
    <row r="252" spans="1:15" x14ac:dyDescent="0.25">
      <c r="A252" s="304">
        <v>250</v>
      </c>
      <c r="B252" s="283"/>
      <c r="C252" s="284"/>
      <c r="D252" s="283"/>
      <c r="E252" s="285"/>
      <c r="F252" s="285"/>
      <c r="G252" s="285"/>
      <c r="H252" s="283"/>
      <c r="I252" s="283"/>
      <c r="J252" s="283"/>
      <c r="K252" s="285"/>
      <c r="L252" s="286"/>
      <c r="M252" s="285"/>
      <c r="N252" s="287"/>
      <c r="O252" s="286"/>
    </row>
    <row r="253" spans="1:15" x14ac:dyDescent="0.25">
      <c r="A253" s="304">
        <v>251</v>
      </c>
      <c r="B253" s="283"/>
      <c r="C253" s="284"/>
      <c r="D253" s="283"/>
      <c r="E253" s="285"/>
      <c r="F253" s="285"/>
      <c r="G253" s="285"/>
      <c r="H253" s="283"/>
      <c r="I253" s="283"/>
      <c r="J253" s="283"/>
      <c r="K253" s="285"/>
      <c r="L253" s="286"/>
      <c r="M253" s="285"/>
      <c r="N253" s="287"/>
      <c r="O253" s="286"/>
    </row>
    <row r="254" spans="1:15" x14ac:dyDescent="0.25">
      <c r="A254" s="304">
        <v>252</v>
      </c>
      <c r="B254" s="269"/>
      <c r="C254" s="270"/>
      <c r="D254" s="269"/>
      <c r="E254" s="271"/>
      <c r="F254" s="271"/>
      <c r="G254" s="271"/>
      <c r="H254" s="269"/>
      <c r="I254" s="269"/>
      <c r="J254" s="269"/>
      <c r="K254" s="271"/>
      <c r="L254" s="272"/>
      <c r="M254" s="271"/>
      <c r="N254" s="273"/>
      <c r="O254" s="272"/>
    </row>
    <row r="255" spans="1:15" x14ac:dyDescent="0.25">
      <c r="A255" s="304">
        <v>253</v>
      </c>
      <c r="B255" s="269"/>
      <c r="C255" s="270"/>
      <c r="D255" s="269"/>
      <c r="E255" s="271"/>
      <c r="F255" s="271"/>
      <c r="G255" s="271"/>
      <c r="H255" s="269"/>
      <c r="I255" s="269"/>
      <c r="J255" s="269"/>
      <c r="K255" s="271"/>
      <c r="L255" s="272"/>
      <c r="M255" s="271"/>
      <c r="N255" s="273"/>
      <c r="O255" s="272"/>
    </row>
    <row r="256" spans="1:15" x14ac:dyDescent="0.25">
      <c r="A256" s="304">
        <v>254</v>
      </c>
      <c r="B256" s="269"/>
      <c r="C256" s="270"/>
      <c r="D256" s="269"/>
      <c r="E256" s="271"/>
      <c r="F256" s="271"/>
      <c r="G256" s="271"/>
      <c r="H256" s="269"/>
      <c r="I256" s="269"/>
      <c r="J256" s="269"/>
      <c r="K256" s="271"/>
      <c r="L256" s="272"/>
      <c r="M256" s="271"/>
      <c r="N256" s="273"/>
      <c r="O256" s="272"/>
    </row>
    <row r="257" spans="1:15" x14ac:dyDescent="0.25">
      <c r="A257" s="304">
        <v>255</v>
      </c>
      <c r="B257" s="269"/>
      <c r="C257" s="270"/>
      <c r="D257" s="269"/>
      <c r="E257" s="271"/>
      <c r="F257" s="271"/>
      <c r="G257" s="271"/>
      <c r="H257" s="269"/>
      <c r="I257" s="269"/>
      <c r="J257" s="269"/>
      <c r="K257" s="271"/>
      <c r="L257" s="272"/>
      <c r="M257" s="271"/>
      <c r="N257" s="273"/>
      <c r="O257" s="272"/>
    </row>
    <row r="258" spans="1:15" x14ac:dyDescent="0.25">
      <c r="A258" s="304">
        <v>256</v>
      </c>
      <c r="B258" s="269"/>
      <c r="C258" s="270"/>
      <c r="D258" s="269"/>
      <c r="E258" s="271"/>
      <c r="F258" s="271"/>
      <c r="G258" s="271"/>
      <c r="H258" s="269"/>
      <c r="I258" s="269"/>
      <c r="J258" s="269"/>
      <c r="K258" s="271"/>
      <c r="L258" s="272"/>
      <c r="M258" s="271"/>
      <c r="N258" s="273"/>
      <c r="O258" s="272"/>
    </row>
    <row r="259" spans="1:15" x14ac:dyDescent="0.25">
      <c r="A259" s="304">
        <v>257</v>
      </c>
      <c r="B259" s="269"/>
      <c r="C259" s="270"/>
      <c r="D259" s="269"/>
      <c r="E259" s="271"/>
      <c r="F259" s="271"/>
      <c r="G259" s="271"/>
      <c r="H259" s="269"/>
      <c r="I259" s="269"/>
      <c r="J259" s="269"/>
      <c r="K259" s="271"/>
      <c r="L259" s="272"/>
      <c r="M259" s="271"/>
      <c r="N259" s="273"/>
      <c r="O259" s="272"/>
    </row>
    <row r="260" spans="1:15" x14ac:dyDescent="0.25">
      <c r="A260" s="304">
        <v>258</v>
      </c>
      <c r="B260" s="269"/>
      <c r="C260" s="270"/>
      <c r="D260" s="269"/>
      <c r="E260" s="271"/>
      <c r="F260" s="271"/>
      <c r="G260" s="271"/>
      <c r="H260" s="269"/>
      <c r="I260" s="269"/>
      <c r="J260" s="269"/>
      <c r="K260" s="271"/>
      <c r="L260" s="272"/>
      <c r="M260" s="271"/>
      <c r="N260" s="273"/>
      <c r="O260" s="272"/>
    </row>
    <row r="261" spans="1:15" x14ac:dyDescent="0.25">
      <c r="A261" s="304">
        <v>259</v>
      </c>
      <c r="B261" s="269"/>
      <c r="C261" s="270"/>
      <c r="D261" s="269"/>
      <c r="E261" s="271"/>
      <c r="F261" s="271"/>
      <c r="G261" s="271"/>
      <c r="H261" s="269"/>
      <c r="I261" s="269"/>
      <c r="J261" s="269"/>
      <c r="K261" s="271"/>
      <c r="L261" s="272"/>
      <c r="M261" s="271"/>
      <c r="N261" s="273"/>
      <c r="O261" s="272"/>
    </row>
    <row r="262" spans="1:15" x14ac:dyDescent="0.25">
      <c r="A262" s="304">
        <v>260</v>
      </c>
      <c r="B262" s="269"/>
      <c r="C262" s="270"/>
      <c r="D262" s="269"/>
      <c r="E262" s="271"/>
      <c r="F262" s="271"/>
      <c r="G262" s="271"/>
      <c r="H262" s="269"/>
      <c r="I262" s="269"/>
      <c r="J262" s="269"/>
      <c r="K262" s="271"/>
      <c r="L262" s="272"/>
      <c r="M262" s="271"/>
      <c r="N262" s="273"/>
      <c r="O262" s="272"/>
    </row>
    <row r="263" spans="1:15" x14ac:dyDescent="0.25">
      <c r="A263" s="304">
        <v>261</v>
      </c>
      <c r="B263" s="269"/>
      <c r="C263" s="270"/>
      <c r="D263" s="269"/>
      <c r="E263" s="271"/>
      <c r="F263" s="271"/>
      <c r="G263" s="271"/>
      <c r="H263" s="269"/>
      <c r="I263" s="269"/>
      <c r="J263" s="269"/>
      <c r="K263" s="271"/>
      <c r="L263" s="272"/>
      <c r="M263" s="271"/>
      <c r="N263" s="273"/>
      <c r="O263" s="272"/>
    </row>
    <row r="264" spans="1:15" x14ac:dyDescent="0.25">
      <c r="A264" s="304">
        <v>262</v>
      </c>
      <c r="B264" s="269"/>
      <c r="C264" s="270"/>
      <c r="D264" s="269"/>
      <c r="E264" s="271"/>
      <c r="F264" s="271"/>
      <c r="G264" s="271"/>
      <c r="H264" s="269"/>
      <c r="I264" s="269"/>
      <c r="J264" s="269"/>
      <c r="K264" s="271"/>
      <c r="L264" s="272"/>
      <c r="M264" s="271"/>
      <c r="N264" s="273"/>
      <c r="O264" s="272"/>
    </row>
    <row r="265" spans="1:15" x14ac:dyDescent="0.25">
      <c r="A265" s="304">
        <v>263</v>
      </c>
      <c r="B265" s="269"/>
      <c r="C265" s="270"/>
      <c r="D265" s="269"/>
      <c r="E265" s="271"/>
      <c r="F265" s="271"/>
      <c r="G265" s="271"/>
      <c r="H265" s="269"/>
      <c r="I265" s="269"/>
      <c r="J265" s="269"/>
      <c r="K265" s="271"/>
      <c r="L265" s="272"/>
      <c r="M265" s="271"/>
      <c r="N265" s="273"/>
      <c r="O265" s="272"/>
    </row>
    <row r="266" spans="1:15" x14ac:dyDescent="0.25">
      <c r="A266" s="304">
        <v>264</v>
      </c>
      <c r="B266" s="269"/>
      <c r="C266" s="270"/>
      <c r="D266" s="269"/>
      <c r="E266" s="271"/>
      <c r="F266" s="271"/>
      <c r="G266" s="271"/>
      <c r="H266" s="269"/>
      <c r="I266" s="269"/>
      <c r="J266" s="269"/>
      <c r="K266" s="271"/>
      <c r="L266" s="272"/>
      <c r="M266" s="271"/>
      <c r="N266" s="273"/>
      <c r="O266" s="272"/>
    </row>
    <row r="267" spans="1:15" x14ac:dyDescent="0.25">
      <c r="A267" s="304">
        <v>265</v>
      </c>
      <c r="B267" s="269"/>
      <c r="C267" s="270"/>
      <c r="D267" s="269"/>
      <c r="E267" s="271"/>
      <c r="F267" s="271"/>
      <c r="G267" s="271"/>
      <c r="H267" s="269"/>
      <c r="I267" s="269"/>
      <c r="J267" s="269"/>
      <c r="K267" s="271"/>
      <c r="L267" s="272"/>
      <c r="M267" s="271"/>
      <c r="N267" s="273"/>
      <c r="O267" s="272"/>
    </row>
    <row r="268" spans="1:15" x14ac:dyDescent="0.25">
      <c r="A268" s="304">
        <v>266</v>
      </c>
      <c r="B268" s="269"/>
      <c r="C268" s="270"/>
      <c r="D268" s="269"/>
      <c r="E268" s="271"/>
      <c r="F268" s="271"/>
      <c r="G268" s="271"/>
      <c r="H268" s="269"/>
      <c r="I268" s="269"/>
      <c r="J268" s="269"/>
      <c r="K268" s="271"/>
      <c r="L268" s="272"/>
      <c r="M268" s="271"/>
      <c r="N268" s="273"/>
      <c r="O268" s="272"/>
    </row>
    <row r="269" spans="1:15" x14ac:dyDescent="0.25">
      <c r="A269" s="304">
        <v>267</v>
      </c>
      <c r="B269" s="269"/>
      <c r="C269" s="270"/>
      <c r="D269" s="269"/>
      <c r="E269" s="271"/>
      <c r="F269" s="271"/>
      <c r="G269" s="271"/>
      <c r="H269" s="269"/>
      <c r="I269" s="269"/>
      <c r="J269" s="269"/>
      <c r="K269" s="271"/>
      <c r="L269" s="272"/>
      <c r="M269" s="271"/>
      <c r="N269" s="273"/>
      <c r="O269" s="272"/>
    </row>
    <row r="270" spans="1:15" x14ac:dyDescent="0.25">
      <c r="A270" s="304">
        <v>268</v>
      </c>
      <c r="B270" s="269"/>
      <c r="C270" s="270"/>
      <c r="D270" s="269"/>
      <c r="E270" s="271"/>
      <c r="F270" s="271"/>
      <c r="G270" s="271"/>
      <c r="H270" s="269"/>
      <c r="I270" s="269"/>
      <c r="J270" s="269"/>
      <c r="K270" s="271"/>
      <c r="L270" s="272"/>
      <c r="M270" s="271"/>
      <c r="N270" s="273"/>
      <c r="O270" s="272"/>
    </row>
    <row r="271" spans="1:15" x14ac:dyDescent="0.25">
      <c r="A271" s="304">
        <v>269</v>
      </c>
      <c r="B271" s="269"/>
      <c r="C271" s="270"/>
      <c r="D271" s="269"/>
      <c r="E271" s="271"/>
      <c r="F271" s="271"/>
      <c r="G271" s="271"/>
      <c r="H271" s="269"/>
      <c r="I271" s="269"/>
      <c r="J271" s="269"/>
      <c r="K271" s="271"/>
      <c r="L271" s="272"/>
      <c r="M271" s="271"/>
      <c r="N271" s="273"/>
      <c r="O271" s="272"/>
    </row>
    <row r="272" spans="1:15" x14ac:dyDescent="0.25">
      <c r="A272" s="304" t="e">
        <f>#REF!</f>
        <v>#REF!</v>
      </c>
      <c r="B272" s="269"/>
      <c r="C272" s="270"/>
      <c r="D272" s="269"/>
      <c r="E272" s="271"/>
      <c r="F272" s="271"/>
      <c r="G272" s="271"/>
      <c r="H272" s="269"/>
      <c r="I272" s="269"/>
      <c r="J272" s="269"/>
      <c r="K272" s="271"/>
      <c r="L272" s="272"/>
      <c r="M272" s="271"/>
      <c r="N272" s="273"/>
      <c r="O272" s="272"/>
    </row>
    <row r="273" spans="1:15" x14ac:dyDescent="0.25">
      <c r="A273" s="304" t="e">
        <f>#REF!</f>
        <v>#REF!</v>
      </c>
      <c r="B273" s="269"/>
      <c r="C273" s="270"/>
      <c r="D273" s="269"/>
      <c r="E273" s="271"/>
      <c r="F273" s="271"/>
      <c r="G273" s="271"/>
      <c r="H273" s="269"/>
      <c r="I273" s="269"/>
      <c r="J273" s="269"/>
      <c r="K273" s="271"/>
      <c r="L273" s="272"/>
      <c r="M273" s="271"/>
      <c r="N273" s="273"/>
      <c r="O273" s="272"/>
    </row>
    <row r="274" spans="1:15" x14ac:dyDescent="0.25">
      <c r="A274" s="304" t="e">
        <f>#REF!</f>
        <v>#REF!</v>
      </c>
      <c r="B274" s="269"/>
      <c r="C274" s="270"/>
      <c r="D274" s="269"/>
      <c r="E274" s="271"/>
      <c r="F274" s="271"/>
      <c r="G274" s="271"/>
      <c r="H274" s="269"/>
      <c r="I274" s="269"/>
      <c r="J274" s="269"/>
      <c r="K274" s="271"/>
      <c r="L274" s="272"/>
      <c r="M274" s="271"/>
      <c r="N274" s="273"/>
      <c r="O274" s="272"/>
    </row>
    <row r="275" spans="1:15" x14ac:dyDescent="0.25">
      <c r="A275" s="304" t="e">
        <f>#REF!</f>
        <v>#REF!</v>
      </c>
      <c r="B275" s="269"/>
      <c r="C275" s="270"/>
      <c r="D275" s="269"/>
      <c r="E275" s="271"/>
      <c r="F275" s="271"/>
      <c r="G275" s="271"/>
      <c r="H275" s="269"/>
      <c r="I275" s="269"/>
      <c r="J275" s="269"/>
      <c r="K275" s="271"/>
      <c r="L275" s="272"/>
      <c r="M275" s="271"/>
      <c r="N275" s="273"/>
      <c r="O275" s="272"/>
    </row>
    <row r="276" spans="1:15" x14ac:dyDescent="0.25">
      <c r="A276" s="304" t="e">
        <f>#REF!</f>
        <v>#REF!</v>
      </c>
      <c r="B276" s="269"/>
      <c r="C276" s="270"/>
      <c r="D276" s="269"/>
      <c r="E276" s="271"/>
      <c r="F276" s="271"/>
      <c r="G276" s="271"/>
      <c r="H276" s="269"/>
      <c r="I276" s="269"/>
      <c r="J276" s="269"/>
      <c r="K276" s="271"/>
      <c r="L276" s="272"/>
      <c r="M276" s="271"/>
      <c r="N276" s="273"/>
      <c r="O276" s="272"/>
    </row>
    <row r="277" spans="1:15" x14ac:dyDescent="0.25">
      <c r="A277" s="304" t="e">
        <f>#REF!</f>
        <v>#REF!</v>
      </c>
      <c r="B277" s="269"/>
      <c r="C277" s="270"/>
      <c r="D277" s="269"/>
      <c r="E277" s="271"/>
      <c r="F277" s="271"/>
      <c r="G277" s="271"/>
      <c r="H277" s="269"/>
      <c r="I277" s="269"/>
      <c r="J277" s="269"/>
      <c r="K277" s="271"/>
      <c r="L277" s="272"/>
      <c r="M277" s="271"/>
      <c r="N277" s="273"/>
      <c r="O277" s="272"/>
    </row>
    <row r="278" spans="1:15" x14ac:dyDescent="0.25">
      <c r="A278" s="304" t="e">
        <f>#REF!</f>
        <v>#REF!</v>
      </c>
      <c r="B278" s="269"/>
      <c r="C278" s="270"/>
      <c r="D278" s="269"/>
      <c r="E278" s="271"/>
      <c r="F278" s="271"/>
      <c r="G278" s="271"/>
      <c r="H278" s="269"/>
      <c r="I278" s="269"/>
      <c r="J278" s="269"/>
      <c r="K278" s="271"/>
      <c r="L278" s="272"/>
      <c r="M278" s="271"/>
      <c r="N278" s="273"/>
      <c r="O278" s="272"/>
    </row>
    <row r="279" spans="1:15" x14ac:dyDescent="0.25">
      <c r="A279" s="304" t="e">
        <f>#REF!</f>
        <v>#REF!</v>
      </c>
      <c r="B279" s="269"/>
      <c r="C279" s="270"/>
      <c r="D279" s="269"/>
      <c r="E279" s="271"/>
      <c r="F279" s="271"/>
      <c r="G279" s="271"/>
      <c r="H279" s="269"/>
      <c r="I279" s="269"/>
      <c r="J279" s="269"/>
      <c r="K279" s="271"/>
      <c r="L279" s="272"/>
      <c r="M279" s="271"/>
      <c r="N279" s="273"/>
      <c r="O279" s="272"/>
    </row>
    <row r="280" spans="1:15" x14ac:dyDescent="0.25">
      <c r="A280" s="304" t="e">
        <f>#REF!</f>
        <v>#REF!</v>
      </c>
      <c r="B280" s="269"/>
      <c r="C280" s="270"/>
      <c r="D280" s="269"/>
      <c r="E280" s="271"/>
      <c r="F280" s="271"/>
      <c r="G280" s="271"/>
      <c r="H280" s="269"/>
      <c r="I280" s="269"/>
      <c r="J280" s="269"/>
      <c r="K280" s="271"/>
      <c r="L280" s="272"/>
      <c r="M280" s="271"/>
      <c r="N280" s="273"/>
      <c r="O280" s="272"/>
    </row>
    <row r="281" spans="1:15" x14ac:dyDescent="0.25">
      <c r="A281" s="304" t="e">
        <f>#REF!</f>
        <v>#REF!</v>
      </c>
      <c r="B281" s="269"/>
      <c r="C281" s="270"/>
      <c r="D281" s="269"/>
      <c r="E281" s="271"/>
      <c r="F281" s="271"/>
      <c r="G281" s="271"/>
      <c r="H281" s="269"/>
      <c r="I281" s="269"/>
      <c r="J281" s="269"/>
      <c r="K281" s="271"/>
      <c r="L281" s="272"/>
      <c r="M281" s="271"/>
      <c r="N281" s="273"/>
      <c r="O281" s="272"/>
    </row>
    <row r="282" spans="1:15" x14ac:dyDescent="0.25">
      <c r="A282" s="304" t="e">
        <f>#REF!</f>
        <v>#REF!</v>
      </c>
      <c r="B282" s="269"/>
      <c r="C282" s="270"/>
      <c r="D282" s="269"/>
      <c r="E282" s="271"/>
      <c r="F282" s="271"/>
      <c r="G282" s="271"/>
      <c r="H282" s="269"/>
      <c r="I282" s="269"/>
      <c r="J282" s="269"/>
      <c r="K282" s="271"/>
      <c r="L282" s="272"/>
      <c r="M282" s="271"/>
      <c r="N282" s="273"/>
      <c r="O282" s="272"/>
    </row>
    <row r="283" spans="1:15" x14ac:dyDescent="0.25">
      <c r="A283" s="304" t="e">
        <f>#REF!</f>
        <v>#REF!</v>
      </c>
      <c r="B283" s="269"/>
      <c r="C283" s="270"/>
      <c r="D283" s="269"/>
      <c r="E283" s="271"/>
      <c r="F283" s="271"/>
      <c r="G283" s="271"/>
      <c r="H283" s="269"/>
      <c r="I283" s="269"/>
      <c r="J283" s="269"/>
      <c r="K283" s="271"/>
      <c r="L283" s="272"/>
      <c r="M283" s="271"/>
      <c r="N283" s="273"/>
      <c r="O283" s="272"/>
    </row>
    <row r="284" spans="1:15" x14ac:dyDescent="0.25">
      <c r="A284" s="304" t="e">
        <f>#REF!</f>
        <v>#REF!</v>
      </c>
      <c r="B284" s="269"/>
      <c r="C284" s="270"/>
      <c r="D284" s="269"/>
      <c r="E284" s="271"/>
      <c r="F284" s="271"/>
      <c r="G284" s="271"/>
      <c r="H284" s="269"/>
      <c r="I284" s="269"/>
      <c r="J284" s="269"/>
      <c r="K284" s="271"/>
      <c r="L284" s="272"/>
      <c r="M284" s="271"/>
      <c r="N284" s="273"/>
      <c r="O284" s="272"/>
    </row>
    <row r="285" spans="1:15" x14ac:dyDescent="0.25">
      <c r="A285" s="304" t="e">
        <f>#REF!</f>
        <v>#REF!</v>
      </c>
      <c r="B285" s="269"/>
      <c r="C285" s="270"/>
      <c r="D285" s="269"/>
      <c r="E285" s="271"/>
      <c r="F285" s="271"/>
      <c r="G285" s="271"/>
      <c r="H285" s="269"/>
      <c r="I285" s="269"/>
      <c r="J285" s="269"/>
      <c r="K285" s="271"/>
      <c r="L285" s="272"/>
      <c r="M285" s="271"/>
      <c r="N285" s="273"/>
      <c r="O285" s="272"/>
    </row>
    <row r="286" spans="1:15" x14ac:dyDescent="0.25">
      <c r="A286" s="304" t="e">
        <f>#REF!</f>
        <v>#REF!</v>
      </c>
      <c r="B286" s="269"/>
      <c r="C286" s="270"/>
      <c r="D286" s="269"/>
      <c r="E286" s="271"/>
      <c r="F286" s="271"/>
      <c r="G286" s="271"/>
      <c r="H286" s="269"/>
      <c r="I286" s="269"/>
      <c r="J286" s="269"/>
      <c r="K286" s="271"/>
      <c r="L286" s="272"/>
      <c r="M286" s="271"/>
      <c r="N286" s="273"/>
      <c r="O286" s="272"/>
    </row>
    <row r="287" spans="1:15" x14ac:dyDescent="0.25">
      <c r="A287" s="304" t="e">
        <f>#REF!</f>
        <v>#REF!</v>
      </c>
      <c r="B287" s="269"/>
      <c r="C287" s="270"/>
      <c r="D287" s="269"/>
      <c r="E287" s="271"/>
      <c r="F287" s="271"/>
      <c r="G287" s="271"/>
      <c r="H287" s="269"/>
      <c r="I287" s="269"/>
      <c r="J287" s="269"/>
      <c r="K287" s="271"/>
      <c r="L287" s="272"/>
      <c r="M287" s="271"/>
      <c r="N287" s="273"/>
      <c r="O287" s="272"/>
    </row>
    <row r="288" spans="1:15" x14ac:dyDescent="0.25">
      <c r="A288" s="304" t="e">
        <f>#REF!</f>
        <v>#REF!</v>
      </c>
      <c r="B288" s="269"/>
      <c r="C288" s="270"/>
      <c r="D288" s="269"/>
      <c r="E288" s="271"/>
      <c r="F288" s="271"/>
      <c r="G288" s="271"/>
      <c r="H288" s="269"/>
      <c r="I288" s="269"/>
      <c r="J288" s="269"/>
      <c r="K288" s="271"/>
      <c r="L288" s="272"/>
      <c r="M288" s="271"/>
      <c r="N288" s="273"/>
      <c r="O288" s="272"/>
    </row>
    <row r="289" spans="1:15" x14ac:dyDescent="0.25">
      <c r="A289" s="304" t="e">
        <f>#REF!</f>
        <v>#REF!</v>
      </c>
      <c r="B289" s="269"/>
      <c r="C289" s="270"/>
      <c r="D289" s="269"/>
      <c r="E289" s="271"/>
      <c r="F289" s="271"/>
      <c r="G289" s="271"/>
      <c r="H289" s="269"/>
      <c r="I289" s="269"/>
      <c r="J289" s="269"/>
      <c r="K289" s="271"/>
      <c r="L289" s="272"/>
      <c r="M289" s="271"/>
      <c r="N289" s="273"/>
      <c r="O289" s="272"/>
    </row>
    <row r="290" spans="1:15" x14ac:dyDescent="0.25">
      <c r="A290" s="304" t="e">
        <f>#REF!</f>
        <v>#REF!</v>
      </c>
      <c r="B290" s="269"/>
      <c r="C290" s="270"/>
      <c r="D290" s="269"/>
      <c r="E290" s="271"/>
      <c r="F290" s="271"/>
      <c r="G290" s="271"/>
      <c r="H290" s="269"/>
      <c r="I290" s="269"/>
      <c r="J290" s="269"/>
      <c r="K290" s="271"/>
      <c r="L290" s="272"/>
      <c r="M290" s="271"/>
      <c r="N290" s="273"/>
      <c r="O290" s="272"/>
    </row>
    <row r="291" spans="1:15" x14ac:dyDescent="0.25">
      <c r="A291" s="304" t="e">
        <f>#REF!</f>
        <v>#REF!</v>
      </c>
      <c r="B291" s="269"/>
      <c r="C291" s="270"/>
      <c r="D291" s="269"/>
      <c r="E291" s="271"/>
      <c r="F291" s="271"/>
      <c r="G291" s="271"/>
      <c r="H291" s="269"/>
      <c r="I291" s="269"/>
      <c r="J291" s="269"/>
      <c r="K291" s="271"/>
      <c r="L291" s="272"/>
      <c r="M291" s="271"/>
      <c r="N291" s="273"/>
      <c r="O291" s="272"/>
    </row>
    <row r="292" spans="1:15" x14ac:dyDescent="0.25">
      <c r="A292" s="304" t="e">
        <f>#REF!</f>
        <v>#REF!</v>
      </c>
      <c r="B292" s="269"/>
      <c r="C292" s="270"/>
      <c r="D292" s="269"/>
      <c r="E292" s="271"/>
      <c r="F292" s="271"/>
      <c r="G292" s="271"/>
      <c r="H292" s="269"/>
      <c r="I292" s="269"/>
      <c r="J292" s="269"/>
      <c r="K292" s="271"/>
      <c r="L292" s="272"/>
      <c r="M292" s="271"/>
      <c r="N292" s="273"/>
      <c r="O292" s="272"/>
    </row>
    <row r="293" spans="1:15" x14ac:dyDescent="0.25">
      <c r="A293" s="304" t="e">
        <f>#REF!</f>
        <v>#REF!</v>
      </c>
      <c r="B293" s="269"/>
      <c r="C293" s="270"/>
      <c r="D293" s="269"/>
      <c r="E293" s="271"/>
      <c r="F293" s="271"/>
      <c r="G293" s="271"/>
      <c r="H293" s="269"/>
      <c r="I293" s="269"/>
      <c r="J293" s="269"/>
      <c r="K293" s="271"/>
      <c r="L293" s="272"/>
      <c r="M293" s="271"/>
      <c r="N293" s="273"/>
      <c r="O293" s="272"/>
    </row>
    <row r="294" spans="1:15" x14ac:dyDescent="0.25">
      <c r="A294" s="304" t="e">
        <f>#REF!</f>
        <v>#REF!</v>
      </c>
      <c r="B294" s="269"/>
      <c r="C294" s="270"/>
      <c r="D294" s="269"/>
      <c r="E294" s="271"/>
      <c r="F294" s="271"/>
      <c r="G294" s="271"/>
      <c r="H294" s="269"/>
      <c r="I294" s="269"/>
      <c r="J294" s="269"/>
      <c r="K294" s="271"/>
      <c r="L294" s="272"/>
      <c r="M294" s="271"/>
      <c r="N294" s="273"/>
      <c r="O294" s="272"/>
    </row>
    <row r="295" spans="1:15" x14ac:dyDescent="0.25">
      <c r="A295" s="304" t="e">
        <f>#REF!</f>
        <v>#REF!</v>
      </c>
      <c r="B295" s="269"/>
      <c r="C295" s="270"/>
      <c r="D295" s="269"/>
      <c r="E295" s="271"/>
      <c r="F295" s="271"/>
      <c r="G295" s="271"/>
      <c r="H295" s="269"/>
      <c r="I295" s="269"/>
      <c r="J295" s="269"/>
      <c r="K295" s="271"/>
      <c r="L295" s="272"/>
      <c r="M295" s="271"/>
      <c r="N295" s="273"/>
      <c r="O295" s="272"/>
    </row>
    <row r="296" spans="1:15" x14ac:dyDescent="0.25">
      <c r="A296" s="304" t="e">
        <f>#REF!</f>
        <v>#REF!</v>
      </c>
      <c r="B296" s="269"/>
      <c r="C296" s="270"/>
      <c r="D296" s="269"/>
      <c r="E296" s="271"/>
      <c r="F296" s="271"/>
      <c r="G296" s="271"/>
      <c r="H296" s="269"/>
      <c r="I296" s="269"/>
      <c r="J296" s="269"/>
      <c r="K296" s="271"/>
      <c r="L296" s="272"/>
      <c r="M296" s="271"/>
      <c r="N296" s="273"/>
      <c r="O296" s="272"/>
    </row>
    <row r="297" spans="1:15" x14ac:dyDescent="0.25">
      <c r="A297" s="304" t="e">
        <f>#REF!</f>
        <v>#REF!</v>
      </c>
      <c r="B297" s="269"/>
      <c r="C297" s="270"/>
      <c r="D297" s="269"/>
      <c r="E297" s="271"/>
      <c r="F297" s="271"/>
      <c r="G297" s="271"/>
      <c r="H297" s="269"/>
      <c r="I297" s="269"/>
      <c r="J297" s="269"/>
      <c r="K297" s="271"/>
      <c r="L297" s="272"/>
      <c r="M297" s="271"/>
      <c r="N297" s="273"/>
      <c r="O297" s="272"/>
    </row>
    <row r="298" spans="1:15" x14ac:dyDescent="0.25">
      <c r="A298" s="304" t="e">
        <f>#REF!</f>
        <v>#REF!</v>
      </c>
      <c r="B298" s="269"/>
      <c r="C298" s="270"/>
      <c r="D298" s="269"/>
      <c r="E298" s="271"/>
      <c r="F298" s="271"/>
      <c r="G298" s="271"/>
      <c r="H298" s="269"/>
      <c r="I298" s="269"/>
      <c r="J298" s="269"/>
      <c r="K298" s="271"/>
      <c r="L298" s="272"/>
      <c r="M298" s="271"/>
      <c r="N298" s="273"/>
      <c r="O298" s="272"/>
    </row>
    <row r="299" spans="1:15" x14ac:dyDescent="0.25">
      <c r="A299" s="304" t="e">
        <f>#REF!</f>
        <v>#REF!</v>
      </c>
      <c r="B299" s="269"/>
      <c r="C299" s="270"/>
      <c r="D299" s="269"/>
      <c r="E299" s="271"/>
      <c r="F299" s="271"/>
      <c r="G299" s="271"/>
      <c r="H299" s="269"/>
      <c r="I299" s="269"/>
      <c r="J299" s="269"/>
      <c r="K299" s="271"/>
      <c r="L299" s="272"/>
      <c r="M299" s="271"/>
      <c r="N299" s="273"/>
      <c r="O299" s="272"/>
    </row>
    <row r="300" spans="1:15" x14ac:dyDescent="0.25">
      <c r="A300" s="304" t="e">
        <f>#REF!</f>
        <v>#REF!</v>
      </c>
      <c r="B300" s="269"/>
      <c r="C300" s="270"/>
      <c r="D300" s="269"/>
      <c r="E300" s="271"/>
      <c r="F300" s="271"/>
      <c r="G300" s="271"/>
      <c r="H300" s="269"/>
      <c r="I300" s="269"/>
      <c r="J300" s="269"/>
      <c r="K300" s="271"/>
      <c r="L300" s="272"/>
      <c r="M300" s="271"/>
      <c r="N300" s="273"/>
      <c r="O300" s="272"/>
    </row>
    <row r="301" spans="1:15" x14ac:dyDescent="0.25">
      <c r="A301" s="304" t="e">
        <f>#REF!</f>
        <v>#REF!</v>
      </c>
      <c r="B301" s="269"/>
      <c r="C301" s="270"/>
      <c r="D301" s="269"/>
      <c r="E301" s="271"/>
      <c r="F301" s="271"/>
      <c r="G301" s="271"/>
      <c r="H301" s="269"/>
      <c r="I301" s="269"/>
      <c r="J301" s="269"/>
      <c r="K301" s="271"/>
      <c r="L301" s="272"/>
      <c r="M301" s="271"/>
      <c r="N301" s="273"/>
      <c r="O301" s="272"/>
    </row>
    <row r="302" spans="1:15" x14ac:dyDescent="0.25">
      <c r="A302" s="304" t="e">
        <f>#REF!</f>
        <v>#REF!</v>
      </c>
      <c r="B302" s="269"/>
      <c r="C302" s="270"/>
      <c r="D302" s="269"/>
      <c r="E302" s="271"/>
      <c r="F302" s="271"/>
      <c r="G302" s="271"/>
      <c r="H302" s="269"/>
      <c r="I302" s="269"/>
      <c r="J302" s="269"/>
      <c r="K302" s="271"/>
      <c r="L302" s="272"/>
      <c r="M302" s="271"/>
      <c r="N302" s="273"/>
      <c r="O302" s="272"/>
    </row>
    <row r="303" spans="1:15" x14ac:dyDescent="0.25">
      <c r="A303" s="304" t="e">
        <f>#REF!</f>
        <v>#REF!</v>
      </c>
      <c r="B303" s="269"/>
      <c r="C303" s="270"/>
      <c r="D303" s="269"/>
      <c r="E303" s="271"/>
      <c r="F303" s="271"/>
      <c r="G303" s="271"/>
      <c r="H303" s="269"/>
      <c r="I303" s="269"/>
      <c r="J303" s="269"/>
      <c r="K303" s="271"/>
      <c r="L303" s="272"/>
      <c r="M303" s="271"/>
      <c r="N303" s="273"/>
      <c r="O303" s="272"/>
    </row>
    <row r="304" spans="1:15" x14ac:dyDescent="0.25">
      <c r="A304" s="304" t="e">
        <f>#REF!</f>
        <v>#REF!</v>
      </c>
      <c r="B304" s="269"/>
      <c r="C304" s="270"/>
      <c r="D304" s="269"/>
      <c r="E304" s="271"/>
      <c r="F304" s="271"/>
      <c r="G304" s="271"/>
      <c r="H304" s="269"/>
      <c r="I304" s="269"/>
      <c r="J304" s="269"/>
      <c r="K304" s="271"/>
      <c r="L304" s="272"/>
      <c r="M304" s="271"/>
      <c r="N304" s="273"/>
      <c r="O304" s="272"/>
    </row>
    <row r="305" spans="1:15" x14ac:dyDescent="0.25">
      <c r="A305" s="304" t="e">
        <f>#REF!</f>
        <v>#REF!</v>
      </c>
      <c r="B305" s="269"/>
      <c r="C305" s="270"/>
      <c r="D305" s="269"/>
      <c r="E305" s="271"/>
      <c r="F305" s="271"/>
      <c r="G305" s="271"/>
      <c r="H305" s="269"/>
      <c r="I305" s="269"/>
      <c r="J305" s="269"/>
      <c r="K305" s="271"/>
      <c r="L305" s="272"/>
      <c r="M305" s="271"/>
      <c r="N305" s="273"/>
      <c r="O305" s="272"/>
    </row>
    <row r="306" spans="1:15" x14ac:dyDescent="0.25">
      <c r="A306" s="304" t="e">
        <f>#REF!</f>
        <v>#REF!</v>
      </c>
      <c r="B306" s="269"/>
      <c r="C306" s="270"/>
      <c r="D306" s="269"/>
      <c r="E306" s="271"/>
      <c r="F306" s="271"/>
      <c r="G306" s="271"/>
      <c r="H306" s="269"/>
      <c r="I306" s="269"/>
      <c r="J306" s="269"/>
      <c r="K306" s="271"/>
      <c r="L306" s="272"/>
      <c r="M306" s="271"/>
      <c r="N306" s="273"/>
      <c r="O306" s="272"/>
    </row>
    <row r="307" spans="1:15" x14ac:dyDescent="0.25">
      <c r="A307" s="304" t="e">
        <f>#REF!</f>
        <v>#REF!</v>
      </c>
      <c r="B307" s="269"/>
      <c r="C307" s="270"/>
      <c r="D307" s="269"/>
      <c r="E307" s="271"/>
      <c r="F307" s="271"/>
      <c r="G307" s="271"/>
      <c r="H307" s="269"/>
      <c r="I307" s="269"/>
      <c r="J307" s="269"/>
      <c r="K307" s="271"/>
      <c r="L307" s="272"/>
      <c r="M307" s="271"/>
      <c r="N307" s="273"/>
      <c r="O307" s="272"/>
    </row>
    <row r="308" spans="1:15" x14ac:dyDescent="0.25">
      <c r="A308" s="304" t="e">
        <f>#REF!</f>
        <v>#REF!</v>
      </c>
      <c r="B308" s="269"/>
      <c r="C308" s="270"/>
      <c r="D308" s="269"/>
      <c r="E308" s="271"/>
      <c r="F308" s="271"/>
      <c r="G308" s="271"/>
      <c r="H308" s="269"/>
      <c r="I308" s="269"/>
      <c r="J308" s="269"/>
      <c r="K308" s="271"/>
      <c r="L308" s="272"/>
      <c r="M308" s="271"/>
      <c r="N308" s="273"/>
      <c r="O308" s="272"/>
    </row>
    <row r="309" spans="1:15" x14ac:dyDescent="0.25">
      <c r="A309" s="304" t="e">
        <f>#REF!</f>
        <v>#REF!</v>
      </c>
      <c r="B309" s="269"/>
      <c r="C309" s="270"/>
      <c r="D309" s="269"/>
      <c r="E309" s="271"/>
      <c r="F309" s="271"/>
      <c r="G309" s="271"/>
      <c r="H309" s="269"/>
      <c r="I309" s="269"/>
      <c r="J309" s="269"/>
      <c r="K309" s="271"/>
      <c r="L309" s="272"/>
      <c r="M309" s="271"/>
      <c r="N309" s="273"/>
      <c r="O309" s="272"/>
    </row>
    <row r="310" spans="1:15" x14ac:dyDescent="0.25">
      <c r="A310" s="304" t="e">
        <f>#REF!</f>
        <v>#REF!</v>
      </c>
      <c r="B310" s="269"/>
      <c r="C310" s="270"/>
      <c r="D310" s="269"/>
      <c r="E310" s="271"/>
      <c r="F310" s="271"/>
      <c r="G310" s="271"/>
      <c r="H310" s="269"/>
      <c r="I310" s="269"/>
      <c r="J310" s="269"/>
      <c r="K310" s="271"/>
      <c r="L310" s="272"/>
      <c r="M310" s="271"/>
      <c r="N310" s="273"/>
      <c r="O310" s="272"/>
    </row>
    <row r="311" spans="1:15" x14ac:dyDescent="0.25">
      <c r="A311" s="304" t="e">
        <f>#REF!</f>
        <v>#REF!</v>
      </c>
      <c r="B311" s="269"/>
      <c r="C311" s="270"/>
      <c r="D311" s="269"/>
      <c r="E311" s="271"/>
      <c r="F311" s="271"/>
      <c r="G311" s="271"/>
      <c r="H311" s="269"/>
      <c r="I311" s="269"/>
      <c r="J311" s="269"/>
      <c r="K311" s="271"/>
      <c r="L311" s="272"/>
      <c r="M311" s="271"/>
      <c r="N311" s="273"/>
      <c r="O311" s="272"/>
    </row>
    <row r="312" spans="1:15" x14ac:dyDescent="0.25">
      <c r="A312" s="304" t="e">
        <f>#REF!</f>
        <v>#REF!</v>
      </c>
      <c r="B312" s="269"/>
      <c r="C312" s="270"/>
      <c r="D312" s="269"/>
      <c r="E312" s="271"/>
      <c r="F312" s="271"/>
      <c r="G312" s="271"/>
      <c r="H312" s="269"/>
      <c r="I312" s="269"/>
      <c r="J312" s="269"/>
      <c r="K312" s="271"/>
      <c r="L312" s="272"/>
      <c r="M312" s="271"/>
      <c r="N312" s="273"/>
      <c r="O312" s="272"/>
    </row>
    <row r="313" spans="1:15" x14ac:dyDescent="0.25">
      <c r="A313" s="304" t="e">
        <f>#REF!</f>
        <v>#REF!</v>
      </c>
      <c r="B313" s="269"/>
      <c r="C313" s="270"/>
      <c r="D313" s="269"/>
      <c r="E313" s="271"/>
      <c r="F313" s="271"/>
      <c r="G313" s="271"/>
      <c r="H313" s="269"/>
      <c r="I313" s="269"/>
      <c r="J313" s="269"/>
      <c r="K313" s="271"/>
      <c r="L313" s="272"/>
      <c r="M313" s="271"/>
      <c r="N313" s="273"/>
      <c r="O313" s="272"/>
    </row>
    <row r="314" spans="1:15" x14ac:dyDescent="0.25">
      <c r="A314" s="304" t="e">
        <f>#REF!</f>
        <v>#REF!</v>
      </c>
      <c r="B314" s="269"/>
      <c r="C314" s="270"/>
      <c r="D314" s="269"/>
      <c r="E314" s="271"/>
      <c r="F314" s="271"/>
      <c r="G314" s="271"/>
      <c r="H314" s="269"/>
      <c r="I314" s="269"/>
      <c r="J314" s="269"/>
      <c r="K314" s="271"/>
      <c r="L314" s="272"/>
      <c r="M314" s="271"/>
      <c r="N314" s="273"/>
      <c r="O314" s="272"/>
    </row>
    <row r="315" spans="1:15" x14ac:dyDescent="0.25">
      <c r="A315" s="304" t="e">
        <f>#REF!</f>
        <v>#REF!</v>
      </c>
      <c r="B315" s="269"/>
      <c r="C315" s="270"/>
      <c r="D315" s="269"/>
      <c r="E315" s="271"/>
      <c r="F315" s="271"/>
      <c r="G315" s="271"/>
      <c r="H315" s="269"/>
      <c r="I315" s="269"/>
      <c r="J315" s="269"/>
      <c r="K315" s="271"/>
      <c r="L315" s="272"/>
      <c r="M315" s="271"/>
      <c r="N315" s="273"/>
      <c r="O315" s="272"/>
    </row>
    <row r="316" spans="1:15" x14ac:dyDescent="0.25">
      <c r="A316" s="304" t="e">
        <f>#REF!</f>
        <v>#REF!</v>
      </c>
      <c r="B316" s="269"/>
      <c r="C316" s="270"/>
      <c r="D316" s="269"/>
      <c r="E316" s="271"/>
      <c r="F316" s="271"/>
      <c r="G316" s="271"/>
      <c r="H316" s="269"/>
      <c r="I316" s="269"/>
      <c r="J316" s="269"/>
      <c r="K316" s="271"/>
      <c r="L316" s="272"/>
      <c r="M316" s="271"/>
      <c r="N316" s="273"/>
      <c r="O316" s="272"/>
    </row>
    <row r="317" spans="1:15" x14ac:dyDescent="0.25">
      <c r="A317" s="304" t="e">
        <f>#REF!</f>
        <v>#REF!</v>
      </c>
      <c r="B317" s="269"/>
      <c r="C317" s="270"/>
      <c r="D317" s="269"/>
      <c r="E317" s="271"/>
      <c r="F317" s="271"/>
      <c r="G317" s="271"/>
      <c r="H317" s="269"/>
      <c r="I317" s="269"/>
      <c r="J317" s="269"/>
      <c r="K317" s="271"/>
      <c r="L317" s="272"/>
      <c r="M317" s="271"/>
      <c r="N317" s="273"/>
      <c r="O317" s="272"/>
    </row>
    <row r="318" spans="1:15" x14ac:dyDescent="0.25">
      <c r="A318" s="304" t="e">
        <f>#REF!</f>
        <v>#REF!</v>
      </c>
      <c r="B318" s="269"/>
      <c r="C318" s="270"/>
      <c r="D318" s="269"/>
      <c r="E318" s="271"/>
      <c r="F318" s="271"/>
      <c r="G318" s="271"/>
      <c r="H318" s="269"/>
      <c r="I318" s="269"/>
      <c r="J318" s="269"/>
      <c r="K318" s="271"/>
      <c r="L318" s="272"/>
      <c r="M318" s="271"/>
      <c r="N318" s="273"/>
      <c r="O318" s="272"/>
    </row>
    <row r="319" spans="1:15" x14ac:dyDescent="0.25">
      <c r="A319" s="304" t="e">
        <f>#REF!</f>
        <v>#REF!</v>
      </c>
      <c r="B319" s="269"/>
      <c r="C319" s="270"/>
      <c r="D319" s="269"/>
      <c r="E319" s="271"/>
      <c r="F319" s="271"/>
      <c r="G319" s="271"/>
      <c r="H319" s="269"/>
      <c r="I319" s="269"/>
      <c r="J319" s="269"/>
      <c r="K319" s="271"/>
      <c r="L319" s="272"/>
      <c r="M319" s="271"/>
      <c r="N319" s="273"/>
      <c r="O319" s="272"/>
    </row>
    <row r="320" spans="1:15" x14ac:dyDescent="0.25">
      <c r="A320" s="304" t="e">
        <f>#REF!</f>
        <v>#REF!</v>
      </c>
      <c r="B320" s="269"/>
      <c r="C320" s="270"/>
      <c r="D320" s="269"/>
      <c r="E320" s="271"/>
      <c r="F320" s="271"/>
      <c r="G320" s="271"/>
      <c r="H320" s="269"/>
      <c r="I320" s="269"/>
      <c r="J320" s="269"/>
      <c r="K320" s="271"/>
      <c r="L320" s="272"/>
      <c r="M320" s="271"/>
      <c r="N320" s="273"/>
      <c r="O320" s="272"/>
    </row>
    <row r="321" spans="1:15" x14ac:dyDescent="0.25">
      <c r="A321" s="304" t="e">
        <f>#REF!</f>
        <v>#REF!</v>
      </c>
      <c r="B321" s="264"/>
      <c r="C321" s="265"/>
      <c r="D321" s="264"/>
      <c r="E321" s="266"/>
      <c r="F321" s="266"/>
      <c r="G321" s="266"/>
      <c r="H321" s="264"/>
      <c r="I321" s="264"/>
      <c r="J321" s="264"/>
      <c r="K321" s="266"/>
      <c r="L321" s="267"/>
      <c r="M321" s="266"/>
      <c r="N321" s="268"/>
      <c r="O321" s="272"/>
    </row>
    <row r="322" spans="1:15" x14ac:dyDescent="0.25">
      <c r="A322" s="304" t="e">
        <f>#REF!</f>
        <v>#REF!</v>
      </c>
      <c r="B322" s="264"/>
      <c r="C322" s="265"/>
      <c r="D322" s="264"/>
      <c r="E322" s="266"/>
      <c r="F322" s="266"/>
      <c r="G322" s="266"/>
      <c r="H322" s="264"/>
      <c r="I322" s="264"/>
      <c r="J322" s="264"/>
      <c r="K322" s="266"/>
      <c r="L322" s="267"/>
      <c r="M322" s="266"/>
      <c r="N322" s="268"/>
      <c r="O322" s="272"/>
    </row>
    <row r="323" spans="1:15" x14ac:dyDescent="0.25">
      <c r="A323" s="304" t="e">
        <f>#REF!</f>
        <v>#REF!</v>
      </c>
      <c r="B323" s="264"/>
      <c r="C323" s="265"/>
      <c r="D323" s="264"/>
      <c r="E323" s="266"/>
      <c r="F323" s="266"/>
      <c r="G323" s="266"/>
      <c r="H323" s="264"/>
      <c r="I323" s="264"/>
      <c r="J323" s="264"/>
      <c r="K323" s="266"/>
      <c r="L323" s="267"/>
      <c r="M323" s="266"/>
      <c r="N323" s="268"/>
      <c r="O323" s="272"/>
    </row>
    <row r="324" spans="1:15" x14ac:dyDescent="0.25">
      <c r="A324" s="304" t="e">
        <f>#REF!</f>
        <v>#REF!</v>
      </c>
      <c r="B324" s="264"/>
      <c r="C324" s="265"/>
      <c r="D324" s="264"/>
      <c r="E324" s="266"/>
      <c r="F324" s="266"/>
      <c r="G324" s="266"/>
      <c r="H324" s="264"/>
      <c r="I324" s="264"/>
      <c r="J324" s="264"/>
      <c r="K324" s="266"/>
      <c r="L324" s="267"/>
      <c r="M324" s="266"/>
      <c r="N324" s="268"/>
      <c r="O324" s="272"/>
    </row>
    <row r="325" spans="1:15" x14ac:dyDescent="0.25">
      <c r="A325" s="304" t="e">
        <f>#REF!</f>
        <v>#REF!</v>
      </c>
      <c r="B325" s="264"/>
      <c r="C325" s="265"/>
      <c r="D325" s="264"/>
      <c r="E325" s="266"/>
      <c r="F325" s="266"/>
      <c r="G325" s="266"/>
      <c r="H325" s="264"/>
      <c r="I325" s="264"/>
      <c r="J325" s="264"/>
      <c r="K325" s="266"/>
      <c r="L325" s="267"/>
      <c r="M325" s="266"/>
      <c r="N325" s="268"/>
      <c r="O325" s="272"/>
    </row>
    <row r="326" spans="1:15" x14ac:dyDescent="0.25">
      <c r="A326" s="304" t="e">
        <f>#REF!</f>
        <v>#REF!</v>
      </c>
      <c r="B326" s="264"/>
      <c r="C326" s="265"/>
      <c r="D326" s="264"/>
      <c r="E326" s="266"/>
      <c r="F326" s="266"/>
      <c r="G326" s="266"/>
      <c r="H326" s="264"/>
      <c r="I326" s="264"/>
      <c r="J326" s="264"/>
      <c r="K326" s="266"/>
      <c r="L326" s="267"/>
      <c r="M326" s="266"/>
      <c r="N326" s="268"/>
      <c r="O326" s="272"/>
    </row>
    <row r="327" spans="1:15" x14ac:dyDescent="0.25">
      <c r="A327" s="304" t="e">
        <f>#REF!</f>
        <v>#REF!</v>
      </c>
      <c r="B327" s="264"/>
      <c r="C327" s="265"/>
      <c r="D327" s="264"/>
      <c r="E327" s="266"/>
      <c r="F327" s="266"/>
      <c r="G327" s="266"/>
      <c r="H327" s="264"/>
      <c r="I327" s="264"/>
      <c r="J327" s="264"/>
      <c r="K327" s="266"/>
      <c r="L327" s="267"/>
      <c r="M327" s="266"/>
      <c r="N327" s="268"/>
      <c r="O327" s="272"/>
    </row>
    <row r="328" spans="1:15" x14ac:dyDescent="0.25">
      <c r="A328" s="304" t="e">
        <f>#REF!</f>
        <v>#REF!</v>
      </c>
      <c r="B328" s="264"/>
      <c r="C328" s="265"/>
      <c r="D328" s="264"/>
      <c r="E328" s="266"/>
      <c r="F328" s="266"/>
      <c r="G328" s="266"/>
      <c r="H328" s="264"/>
      <c r="I328" s="264"/>
      <c r="J328" s="264"/>
      <c r="K328" s="266"/>
      <c r="L328" s="267"/>
      <c r="M328" s="266"/>
      <c r="N328" s="268"/>
      <c r="O328" s="272"/>
    </row>
    <row r="329" spans="1:15" x14ac:dyDescent="0.25">
      <c r="A329" s="304" t="e">
        <f>#REF!</f>
        <v>#REF!</v>
      </c>
      <c r="B329" s="264"/>
      <c r="C329" s="265"/>
      <c r="D329" s="264"/>
      <c r="E329" s="266"/>
      <c r="F329" s="266"/>
      <c r="G329" s="266"/>
      <c r="H329" s="264"/>
      <c r="I329" s="264"/>
      <c r="J329" s="264"/>
      <c r="K329" s="266"/>
      <c r="L329" s="267"/>
      <c r="M329" s="266"/>
      <c r="N329" s="268"/>
      <c r="O329" s="272"/>
    </row>
    <row r="330" spans="1:15" x14ac:dyDescent="0.25">
      <c r="A330" s="304" t="e">
        <f>#REF!</f>
        <v>#REF!</v>
      </c>
      <c r="B330" s="264"/>
      <c r="C330" s="265"/>
      <c r="D330" s="264"/>
      <c r="E330" s="266"/>
      <c r="F330" s="266"/>
      <c r="G330" s="266"/>
      <c r="H330" s="264"/>
      <c r="I330" s="264"/>
      <c r="J330" s="264"/>
      <c r="K330" s="266"/>
      <c r="L330" s="267"/>
      <c r="M330" s="266"/>
      <c r="N330" s="268"/>
      <c r="O330" s="272"/>
    </row>
    <row r="331" spans="1:15" x14ac:dyDescent="0.25">
      <c r="A331" s="304" t="e">
        <f>#REF!</f>
        <v>#REF!</v>
      </c>
      <c r="B331" s="264"/>
      <c r="C331" s="265"/>
      <c r="D331" s="264"/>
      <c r="E331" s="266"/>
      <c r="F331" s="266"/>
      <c r="G331" s="266"/>
      <c r="H331" s="264"/>
      <c r="I331" s="264"/>
      <c r="J331" s="264"/>
      <c r="K331" s="266"/>
      <c r="L331" s="267"/>
      <c r="M331" s="266"/>
      <c r="N331" s="268"/>
      <c r="O331" s="272"/>
    </row>
    <row r="332" spans="1:15" x14ac:dyDescent="0.25">
      <c r="A332" s="304" t="e">
        <f>#REF!</f>
        <v>#REF!</v>
      </c>
      <c r="B332" s="264"/>
      <c r="C332" s="265"/>
      <c r="D332" s="264"/>
      <c r="E332" s="266"/>
      <c r="F332" s="266"/>
      <c r="G332" s="266"/>
      <c r="H332" s="264"/>
      <c r="I332" s="264"/>
      <c r="J332" s="264"/>
      <c r="K332" s="266"/>
      <c r="L332" s="267"/>
      <c r="M332" s="266"/>
      <c r="N332" s="268"/>
      <c r="O332" s="272"/>
    </row>
    <row r="333" spans="1:15" x14ac:dyDescent="0.25">
      <c r="A333" s="304" t="e">
        <f>#REF!</f>
        <v>#REF!</v>
      </c>
      <c r="B333" s="264"/>
      <c r="C333" s="265"/>
      <c r="D333" s="264"/>
      <c r="E333" s="266"/>
      <c r="F333" s="266"/>
      <c r="G333" s="266"/>
      <c r="H333" s="264"/>
      <c r="I333" s="264"/>
      <c r="J333" s="264"/>
      <c r="K333" s="266"/>
      <c r="L333" s="267"/>
      <c r="M333" s="266"/>
      <c r="N333" s="268"/>
      <c r="O333" s="272"/>
    </row>
    <row r="334" spans="1:15" x14ac:dyDescent="0.25">
      <c r="A334" s="304" t="e">
        <f>#REF!</f>
        <v>#REF!</v>
      </c>
      <c r="B334" s="264"/>
      <c r="C334" s="265"/>
      <c r="D334" s="264"/>
      <c r="E334" s="266"/>
      <c r="F334" s="266"/>
      <c r="G334" s="266"/>
      <c r="H334" s="264"/>
      <c r="I334" s="264"/>
      <c r="J334" s="264"/>
      <c r="K334" s="266"/>
      <c r="L334" s="267"/>
      <c r="M334" s="266"/>
      <c r="N334" s="268"/>
      <c r="O334" s="272"/>
    </row>
    <row r="335" spans="1:15" x14ac:dyDescent="0.25">
      <c r="A335" s="304" t="e">
        <f>#REF!</f>
        <v>#REF!</v>
      </c>
      <c r="B335" s="264"/>
      <c r="C335" s="265"/>
      <c r="D335" s="264"/>
      <c r="E335" s="266"/>
      <c r="F335" s="266"/>
      <c r="G335" s="266"/>
      <c r="H335" s="264"/>
      <c r="I335" s="264"/>
      <c r="J335" s="264"/>
      <c r="K335" s="266"/>
      <c r="L335" s="267"/>
      <c r="M335" s="266"/>
      <c r="N335" s="268"/>
      <c r="O335" s="272"/>
    </row>
    <row r="336" spans="1:15" x14ac:dyDescent="0.25">
      <c r="A336" s="304" t="e">
        <f>#REF!</f>
        <v>#REF!</v>
      </c>
      <c r="B336" s="264"/>
      <c r="C336" s="265"/>
      <c r="D336" s="264"/>
      <c r="E336" s="266"/>
      <c r="F336" s="266"/>
      <c r="G336" s="266"/>
      <c r="H336" s="264"/>
      <c r="I336" s="264"/>
      <c r="J336" s="264"/>
      <c r="K336" s="266"/>
      <c r="L336" s="267"/>
      <c r="M336" s="266"/>
      <c r="N336" s="268"/>
      <c r="O336" s="272"/>
    </row>
    <row r="337" spans="1:170" x14ac:dyDescent="0.25">
      <c r="A337" s="304" t="e">
        <f>#REF!</f>
        <v>#REF!</v>
      </c>
      <c r="B337" s="264"/>
      <c r="C337" s="265"/>
      <c r="D337" s="264"/>
      <c r="E337" s="266"/>
      <c r="F337" s="266"/>
      <c r="G337" s="266"/>
      <c r="H337" s="264"/>
      <c r="I337" s="264"/>
      <c r="J337" s="264"/>
      <c r="K337" s="266"/>
      <c r="L337" s="267"/>
      <c r="M337" s="266"/>
      <c r="N337" s="268"/>
      <c r="O337" s="272"/>
    </row>
    <row r="338" spans="1:170" x14ac:dyDescent="0.25">
      <c r="A338" s="304" t="e">
        <f>#REF!</f>
        <v>#REF!</v>
      </c>
      <c r="B338" s="264"/>
      <c r="C338" s="265"/>
      <c r="D338" s="264"/>
      <c r="E338" s="266"/>
      <c r="F338" s="266"/>
      <c r="G338" s="266"/>
      <c r="H338" s="264"/>
      <c r="I338" s="264"/>
      <c r="J338" s="264"/>
      <c r="K338" s="266"/>
      <c r="L338" s="267"/>
      <c r="M338" s="266"/>
      <c r="N338" s="268"/>
      <c r="O338" s="272"/>
    </row>
    <row r="339" spans="1:170" s="114" customFormat="1" x14ac:dyDescent="0.25">
      <c r="A339" s="304" t="e">
        <f>#REF!</f>
        <v>#REF!</v>
      </c>
      <c r="B339" s="264"/>
      <c r="C339" s="265"/>
      <c r="D339" s="264"/>
      <c r="E339" s="266"/>
      <c r="F339" s="266"/>
      <c r="G339" s="266"/>
      <c r="H339" s="264"/>
      <c r="I339" s="264"/>
      <c r="J339" s="264"/>
      <c r="K339" s="266"/>
      <c r="L339" s="267"/>
      <c r="M339" s="266"/>
      <c r="N339" s="268"/>
      <c r="O339" s="272"/>
      <c r="S339" s="73"/>
      <c r="V339" s="73"/>
      <c r="X339" s="191"/>
      <c r="Y339" s="73"/>
      <c r="Z339" s="73"/>
      <c r="AA339" s="73"/>
      <c r="AB339" s="73"/>
      <c r="AC339" s="73"/>
      <c r="AD339" s="73"/>
      <c r="AF339" s="191"/>
      <c r="AG339" s="108"/>
      <c r="AH339" s="191"/>
      <c r="AI339" s="191"/>
      <c r="AJ339" s="191"/>
      <c r="AK339" s="191"/>
      <c r="AL339" s="191"/>
      <c r="AM339" s="191"/>
      <c r="AN339" s="191"/>
      <c r="AO339" s="191"/>
      <c r="AP339" s="191"/>
      <c r="AQ339" s="191"/>
      <c r="AR339" s="191"/>
      <c r="AS339" s="259"/>
      <c r="AT339" s="191"/>
      <c r="AU339" s="191"/>
      <c r="AV339" s="191"/>
      <c r="AW339" s="191"/>
      <c r="AX339" s="191"/>
      <c r="AY339" s="191"/>
      <c r="AZ339" s="191"/>
      <c r="BA339" s="191"/>
      <c r="BB339" s="191"/>
      <c r="BC339"/>
      <c r="BD339" s="191"/>
      <c r="BE339" s="191"/>
      <c r="BF339" s="191"/>
      <c r="BG339" s="191"/>
      <c r="BH339" s="191"/>
      <c r="BI339" s="191"/>
      <c r="BJ339" s="191"/>
      <c r="BK339" s="191"/>
      <c r="BL339" s="191"/>
      <c r="BM339" s="191"/>
      <c r="BN339" s="191"/>
      <c r="BO339" s="259"/>
      <c r="BP339" s="191"/>
      <c r="BQ339" s="191"/>
      <c r="BR339" s="259"/>
      <c r="BS339" s="191"/>
      <c r="BT339" s="191"/>
      <c r="BU339" s="191"/>
      <c r="BV339" s="191"/>
      <c r="BW339" s="191"/>
      <c r="BX339" s="191"/>
      <c r="BY339" s="191"/>
      <c r="BZ339" s="191"/>
      <c r="CA339" s="191"/>
      <c r="CB339" s="191"/>
      <c r="CC339" s="191"/>
      <c r="CD339" s="191"/>
      <c r="CE339" s="191"/>
      <c r="CF339" s="191"/>
      <c r="CG339" s="191"/>
      <c r="CH339" s="191"/>
      <c r="CI339" s="191"/>
      <c r="CJ339" s="191"/>
      <c r="CK339" s="191"/>
      <c r="CL339" s="191"/>
      <c r="CM339" s="191"/>
      <c r="CN339" s="191"/>
      <c r="CO339" s="191"/>
      <c r="CP339" s="191"/>
      <c r="CQ339" s="191"/>
      <c r="CR339" s="191"/>
      <c r="CS339" s="191"/>
      <c r="CT339" s="191"/>
      <c r="CU339" s="191"/>
      <c r="CV339" s="191"/>
      <c r="CW339" s="191"/>
      <c r="CX339" s="191"/>
      <c r="CY339" s="191"/>
      <c r="CZ339" s="191"/>
      <c r="DA339" s="191"/>
      <c r="DB339" s="191"/>
      <c r="DC339" s="191"/>
      <c r="DD339" s="191"/>
      <c r="DE339" s="191"/>
      <c r="DF339" s="191"/>
      <c r="DG339" s="191"/>
      <c r="DH339" s="191"/>
      <c r="DI339" s="191"/>
      <c r="DJ339" s="191"/>
      <c r="DK339" s="191"/>
      <c r="DL339" s="191"/>
      <c r="DM339" s="191"/>
      <c r="DN339" s="191"/>
      <c r="DO339" s="191"/>
      <c r="DP339" s="191"/>
      <c r="DQ339" s="259"/>
      <c r="DR339" s="191"/>
      <c r="DS339" s="191"/>
      <c r="DT339" s="191"/>
      <c r="DU339" s="191"/>
      <c r="DV339" s="191"/>
      <c r="DW339" s="191"/>
      <c r="DX339" s="191"/>
      <c r="DY339" s="191"/>
      <c r="DZ339" s="191"/>
      <c r="EA339" s="191"/>
      <c r="EB339" s="191"/>
      <c r="EC339"/>
      <c r="ED339" s="191"/>
      <c r="EE339" s="191"/>
      <c r="EF339" s="191"/>
      <c r="EG339" s="191"/>
      <c r="EH339" s="191"/>
      <c r="EI339" s="191"/>
      <c r="EJ339" s="259"/>
      <c r="EK339" s="191"/>
      <c r="EL339" s="191"/>
      <c r="EM339" s="259"/>
      <c r="EN339"/>
      <c r="EO339" s="191"/>
      <c r="EP339" s="191"/>
      <c r="EQ339" s="191"/>
      <c r="ER339" s="191"/>
      <c r="ES339" s="191"/>
      <c r="ET339" s="191"/>
      <c r="EU339" s="191"/>
      <c r="EV339" s="191"/>
      <c r="EW339" s="191"/>
      <c r="EX339" s="191"/>
      <c r="EY339" s="191"/>
      <c r="EZ339" s="191"/>
      <c r="FA339" s="191"/>
      <c r="FB339" s="191"/>
      <c r="FC339" s="191"/>
      <c r="FD339" s="191"/>
      <c r="FE339" s="191"/>
      <c r="FF339" s="191"/>
      <c r="FG339" s="191"/>
      <c r="FH339" s="191"/>
      <c r="FI339" s="191"/>
      <c r="FJ339" s="191"/>
      <c r="FK339" s="191"/>
      <c r="FL339" s="191"/>
      <c r="FM339" s="191"/>
      <c r="FN339" s="191"/>
    </row>
    <row r="340" spans="1:170" s="114" customFormat="1" ht="12.75" x14ac:dyDescent="0.2">
      <c r="A340" s="304" t="e">
        <f>#REF!</f>
        <v>#REF!</v>
      </c>
      <c r="B340" s="264"/>
      <c r="C340" s="265"/>
      <c r="D340" s="264"/>
      <c r="E340" s="266"/>
      <c r="F340" s="266"/>
      <c r="G340" s="266"/>
      <c r="H340" s="264"/>
      <c r="I340" s="264"/>
      <c r="J340" s="264"/>
      <c r="K340" s="266"/>
      <c r="L340" s="267"/>
      <c r="M340" s="266"/>
      <c r="N340" s="268"/>
      <c r="O340" s="272"/>
      <c r="S340" s="73"/>
      <c r="V340" s="73"/>
      <c r="Y340" s="73"/>
      <c r="Z340" s="73"/>
      <c r="AA340" s="73"/>
      <c r="AB340" s="73"/>
      <c r="AC340" s="73"/>
      <c r="AD340" s="73"/>
      <c r="AF340" s="191"/>
      <c r="AG340" s="108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259"/>
      <c r="AT340" s="191"/>
      <c r="AU340" s="191"/>
      <c r="AV340" s="191"/>
      <c r="AW340" s="191"/>
      <c r="AX340" s="191"/>
      <c r="AY340" s="191"/>
      <c r="AZ340" s="191"/>
      <c r="BA340" s="191"/>
      <c r="BB340" s="191"/>
      <c r="BD340" s="191"/>
      <c r="BE340" s="191"/>
      <c r="BF340" s="191"/>
      <c r="BG340" s="191"/>
      <c r="BH340" s="191"/>
      <c r="BI340" s="191"/>
      <c r="BJ340" s="191"/>
      <c r="BK340" s="191"/>
      <c r="BL340" s="191"/>
      <c r="BM340" s="191"/>
      <c r="BN340" s="191"/>
      <c r="BO340" s="259"/>
      <c r="BP340" s="191"/>
      <c r="BQ340" s="191"/>
      <c r="BR340" s="259"/>
      <c r="BS340" s="191"/>
      <c r="BT340" s="191"/>
      <c r="BU340" s="191"/>
      <c r="BV340" s="191"/>
      <c r="BW340" s="191"/>
      <c r="BX340" s="191"/>
      <c r="BY340" s="191"/>
      <c r="BZ340" s="191"/>
      <c r="CA340" s="191"/>
      <c r="CB340" s="191"/>
      <c r="CC340" s="191"/>
      <c r="CD340" s="191"/>
      <c r="CE340" s="191"/>
      <c r="CF340" s="191"/>
      <c r="CG340" s="191"/>
      <c r="CH340" s="191"/>
      <c r="CI340" s="191"/>
      <c r="CJ340" s="191"/>
      <c r="CK340" s="191"/>
      <c r="CL340" s="191"/>
      <c r="CM340" s="191"/>
      <c r="CN340" s="191"/>
      <c r="CO340" s="191"/>
      <c r="CP340" s="191"/>
      <c r="CQ340" s="191"/>
      <c r="CR340" s="191"/>
      <c r="CS340" s="191"/>
      <c r="CT340" s="191"/>
      <c r="CU340" s="191"/>
      <c r="CV340" s="191"/>
      <c r="CW340" s="191"/>
      <c r="CX340" s="191"/>
      <c r="CY340" s="191"/>
      <c r="CZ340" s="191"/>
      <c r="DA340" s="191"/>
      <c r="DB340" s="191"/>
      <c r="DC340" s="191"/>
      <c r="DD340" s="191"/>
      <c r="DE340" s="191"/>
      <c r="DF340" s="191"/>
      <c r="DG340" s="191"/>
      <c r="DH340" s="191"/>
      <c r="DI340" s="191"/>
      <c r="DJ340" s="191"/>
      <c r="DK340" s="191"/>
      <c r="DL340" s="191"/>
      <c r="DM340" s="191"/>
      <c r="DN340" s="191"/>
      <c r="DO340" s="191"/>
      <c r="DP340" s="191"/>
      <c r="DQ340" s="259"/>
      <c r="DR340" s="191"/>
      <c r="DS340" s="191"/>
      <c r="DT340" s="191"/>
      <c r="DU340" s="191"/>
      <c r="DV340" s="191"/>
      <c r="DW340" s="191"/>
      <c r="DX340" s="191"/>
      <c r="DY340" s="191"/>
      <c r="DZ340" s="191"/>
      <c r="EA340" s="191"/>
      <c r="EB340" s="191"/>
      <c r="ED340" s="191"/>
      <c r="EE340" s="191"/>
      <c r="EF340" s="191"/>
      <c r="EG340" s="191"/>
      <c r="EH340" s="191"/>
      <c r="EI340" s="191"/>
      <c r="EJ340" s="259"/>
      <c r="EK340" s="191"/>
      <c r="EL340" s="191"/>
      <c r="EM340" s="259"/>
      <c r="EO340" s="191"/>
      <c r="EP340" s="191"/>
      <c r="EQ340" s="191"/>
      <c r="ER340" s="191"/>
      <c r="ES340" s="191"/>
      <c r="ET340" s="191"/>
      <c r="EU340" s="191"/>
      <c r="EV340" s="191"/>
      <c r="EW340" s="191"/>
      <c r="EX340" s="191"/>
      <c r="EY340" s="191"/>
      <c r="EZ340" s="191"/>
      <c r="FA340" s="191"/>
      <c r="FB340" s="191"/>
      <c r="FC340" s="191"/>
      <c r="FD340" s="191"/>
      <c r="FE340" s="191"/>
      <c r="FF340" s="191"/>
      <c r="FG340" s="191"/>
      <c r="FH340" s="191"/>
      <c r="FI340" s="191"/>
      <c r="FJ340" s="191"/>
      <c r="FK340" s="191"/>
      <c r="FL340" s="191"/>
      <c r="FM340" s="191"/>
      <c r="FN340" s="191"/>
    </row>
    <row r="341" spans="1:170" s="114" customFormat="1" ht="12.75" x14ac:dyDescent="0.2">
      <c r="A341" s="304" t="e">
        <f>#REF!</f>
        <v>#REF!</v>
      </c>
      <c r="B341" s="264"/>
      <c r="C341" s="265"/>
      <c r="D341" s="264"/>
      <c r="E341" s="266"/>
      <c r="F341" s="266"/>
      <c r="G341" s="266"/>
      <c r="H341" s="264"/>
      <c r="I341" s="264"/>
      <c r="J341" s="264"/>
      <c r="K341" s="266"/>
      <c r="L341" s="267"/>
      <c r="M341" s="266"/>
      <c r="N341" s="268"/>
      <c r="O341" s="272"/>
      <c r="S341" s="73"/>
      <c r="V341" s="73"/>
      <c r="Y341" s="73"/>
      <c r="Z341" s="73"/>
      <c r="AA341" s="73"/>
      <c r="AB341" s="73"/>
      <c r="AC341" s="73"/>
      <c r="AD341" s="73"/>
      <c r="AG341" s="292"/>
    </row>
    <row r="342" spans="1:170" s="114" customFormat="1" ht="15" customHeight="1" x14ac:dyDescent="0.2">
      <c r="A342" s="304" t="e">
        <f>#REF!</f>
        <v>#REF!</v>
      </c>
      <c r="B342" s="264"/>
      <c r="C342" s="265"/>
      <c r="D342" s="264"/>
      <c r="E342" s="266"/>
      <c r="F342" s="266"/>
      <c r="G342" s="266"/>
      <c r="H342" s="264"/>
      <c r="I342" s="264"/>
      <c r="J342" s="264"/>
      <c r="K342" s="266"/>
      <c r="L342" s="267"/>
      <c r="M342" s="266"/>
      <c r="N342" s="268"/>
      <c r="O342" s="272"/>
      <c r="S342" s="73"/>
      <c r="V342" s="73"/>
      <c r="Y342" s="73"/>
      <c r="Z342" s="73"/>
      <c r="AA342" s="73"/>
      <c r="AB342" s="73"/>
      <c r="AC342" s="73"/>
      <c r="AD342" s="73"/>
      <c r="AG342" s="292"/>
    </row>
    <row r="343" spans="1:170" s="114" customFormat="1" ht="12.75" x14ac:dyDescent="0.2">
      <c r="A343" s="304" t="e">
        <f>#REF!</f>
        <v>#REF!</v>
      </c>
      <c r="B343" s="264"/>
      <c r="C343" s="265"/>
      <c r="D343" s="264"/>
      <c r="E343" s="266"/>
      <c r="F343" s="266"/>
      <c r="G343" s="266"/>
      <c r="H343" s="264"/>
      <c r="I343" s="264"/>
      <c r="J343" s="264"/>
      <c r="K343" s="266"/>
      <c r="L343" s="267"/>
      <c r="M343" s="266"/>
      <c r="N343" s="268"/>
      <c r="O343" s="272"/>
      <c r="S343" s="73"/>
      <c r="V343" s="73"/>
      <c r="Y343" s="73"/>
      <c r="Z343" s="73"/>
      <c r="AA343" s="73"/>
      <c r="AB343" s="73"/>
      <c r="AC343" s="73"/>
      <c r="AD343" s="73"/>
      <c r="AG343" s="292"/>
    </row>
    <row r="344" spans="1:170" s="114" customFormat="1" ht="12.75" x14ac:dyDescent="0.2">
      <c r="A344" s="304" t="e">
        <f>#REF!</f>
        <v>#REF!</v>
      </c>
      <c r="B344" s="264"/>
      <c r="C344" s="265"/>
      <c r="D344" s="264"/>
      <c r="E344" s="266"/>
      <c r="F344" s="266"/>
      <c r="G344" s="266"/>
      <c r="H344" s="264"/>
      <c r="I344" s="264"/>
      <c r="J344" s="264"/>
      <c r="K344" s="266"/>
      <c r="L344" s="267"/>
      <c r="M344" s="266"/>
      <c r="N344" s="268"/>
      <c r="O344" s="272"/>
      <c r="S344" s="73"/>
      <c r="V344" s="73"/>
      <c r="Y344" s="73"/>
      <c r="Z344" s="73"/>
      <c r="AA344" s="73"/>
      <c r="AB344" s="73"/>
      <c r="AC344" s="73"/>
      <c r="AD344" s="73"/>
      <c r="AG344" s="292"/>
    </row>
    <row r="345" spans="1:170" s="114" customFormat="1" ht="12.75" x14ac:dyDescent="0.2">
      <c r="A345" s="304" t="e">
        <f>#REF!</f>
        <v>#REF!</v>
      </c>
      <c r="B345" s="264"/>
      <c r="C345" s="265"/>
      <c r="D345" s="264"/>
      <c r="E345" s="266"/>
      <c r="F345" s="266"/>
      <c r="G345" s="266"/>
      <c r="H345" s="264"/>
      <c r="I345" s="264"/>
      <c r="J345" s="264"/>
      <c r="K345" s="266"/>
      <c r="L345" s="267"/>
      <c r="M345" s="266"/>
      <c r="N345" s="268"/>
      <c r="O345" s="272"/>
      <c r="S345" s="73"/>
      <c r="V345" s="73"/>
      <c r="Y345" s="73"/>
      <c r="Z345" s="73"/>
      <c r="AA345" s="73"/>
      <c r="AB345" s="73"/>
      <c r="AC345" s="73"/>
      <c r="AD345" s="73"/>
      <c r="AG345" s="292"/>
    </row>
    <row r="346" spans="1:170" s="114" customFormat="1" ht="12.75" x14ac:dyDescent="0.2">
      <c r="A346" s="304" t="e">
        <f>#REF!</f>
        <v>#REF!</v>
      </c>
      <c r="B346" s="264"/>
      <c r="C346" s="265"/>
      <c r="D346" s="264"/>
      <c r="E346" s="266"/>
      <c r="F346" s="266"/>
      <c r="G346" s="266"/>
      <c r="H346" s="264"/>
      <c r="I346" s="264"/>
      <c r="J346" s="264"/>
      <c r="K346" s="266"/>
      <c r="L346" s="267"/>
      <c r="M346" s="266"/>
      <c r="N346" s="268"/>
      <c r="O346" s="272"/>
      <c r="S346" s="73"/>
      <c r="V346" s="73"/>
      <c r="Y346" s="73"/>
      <c r="Z346" s="73"/>
      <c r="AA346" s="73"/>
      <c r="AB346" s="73"/>
      <c r="AC346" s="73"/>
      <c r="AD346" s="73"/>
      <c r="AG346" s="292"/>
    </row>
    <row r="347" spans="1:170" s="114" customFormat="1" ht="12.75" x14ac:dyDescent="0.2">
      <c r="A347" s="304" t="e">
        <f>#REF!</f>
        <v>#REF!</v>
      </c>
      <c r="B347" s="264"/>
      <c r="C347" s="265"/>
      <c r="D347" s="264"/>
      <c r="E347" s="266"/>
      <c r="F347" s="266"/>
      <c r="G347" s="266"/>
      <c r="H347" s="264"/>
      <c r="I347" s="264"/>
      <c r="J347" s="264"/>
      <c r="K347" s="266"/>
      <c r="L347" s="267"/>
      <c r="M347" s="266"/>
      <c r="N347" s="268"/>
      <c r="O347" s="272"/>
      <c r="S347" s="73"/>
      <c r="V347" s="73"/>
      <c r="Y347" s="73"/>
      <c r="Z347" s="73"/>
      <c r="AA347" s="73"/>
      <c r="AB347" s="73"/>
      <c r="AC347" s="73"/>
      <c r="AD347" s="73"/>
      <c r="AG347" s="292"/>
    </row>
    <row r="348" spans="1:170" s="114" customFormat="1" ht="12.75" x14ac:dyDescent="0.2">
      <c r="A348" s="304" t="e">
        <f>#REF!</f>
        <v>#REF!</v>
      </c>
      <c r="B348" s="264"/>
      <c r="C348" s="265"/>
      <c r="D348" s="264"/>
      <c r="E348" s="266"/>
      <c r="F348" s="266"/>
      <c r="G348" s="266"/>
      <c r="H348" s="264"/>
      <c r="I348" s="264"/>
      <c r="J348" s="264"/>
      <c r="K348" s="266"/>
      <c r="L348" s="267"/>
      <c r="M348" s="266"/>
      <c r="N348" s="268"/>
      <c r="O348" s="272"/>
      <c r="S348" s="73"/>
      <c r="V348" s="73"/>
      <c r="Y348" s="73"/>
      <c r="Z348" s="73"/>
      <c r="AA348" s="73"/>
      <c r="AB348" s="73"/>
      <c r="AC348" s="73"/>
      <c r="AD348" s="73"/>
      <c r="AG348" s="292"/>
    </row>
    <row r="349" spans="1:170" s="114" customFormat="1" ht="12.75" x14ac:dyDescent="0.2">
      <c r="A349" s="304" t="e">
        <f>#REF!</f>
        <v>#REF!</v>
      </c>
      <c r="B349" s="264"/>
      <c r="C349" s="265"/>
      <c r="D349" s="264"/>
      <c r="E349" s="266"/>
      <c r="F349" s="266"/>
      <c r="G349" s="266"/>
      <c r="H349" s="264"/>
      <c r="I349" s="264"/>
      <c r="J349" s="264"/>
      <c r="K349" s="266"/>
      <c r="L349" s="267"/>
      <c r="M349" s="266"/>
      <c r="N349" s="268"/>
      <c r="O349" s="272"/>
      <c r="S349" s="73"/>
      <c r="V349" s="73"/>
      <c r="Y349" s="73"/>
      <c r="Z349" s="73"/>
      <c r="AA349" s="73"/>
      <c r="AB349" s="73"/>
      <c r="AC349" s="73"/>
      <c r="AD349" s="73"/>
      <c r="AG349" s="292"/>
    </row>
    <row r="350" spans="1:170" s="114" customFormat="1" ht="12.75" x14ac:dyDescent="0.2">
      <c r="A350" s="304" t="e">
        <f>#REF!</f>
        <v>#REF!</v>
      </c>
      <c r="B350" s="264"/>
      <c r="C350" s="265"/>
      <c r="D350" s="264"/>
      <c r="E350" s="266"/>
      <c r="F350" s="266"/>
      <c r="G350" s="266"/>
      <c r="H350" s="264"/>
      <c r="I350" s="264"/>
      <c r="J350" s="264"/>
      <c r="K350" s="266"/>
      <c r="L350" s="267"/>
      <c r="M350" s="266"/>
      <c r="N350" s="268"/>
      <c r="O350" s="272"/>
      <c r="S350" s="73"/>
      <c r="V350" s="73"/>
      <c r="Y350" s="73"/>
      <c r="Z350" s="73"/>
      <c r="AA350" s="73"/>
      <c r="AB350" s="73"/>
      <c r="AC350" s="73"/>
      <c r="AD350" s="73"/>
      <c r="AG350" s="292"/>
    </row>
    <row r="351" spans="1:170" s="114" customFormat="1" ht="12.75" x14ac:dyDescent="0.2">
      <c r="A351" s="304" t="e">
        <f>#REF!</f>
        <v>#REF!</v>
      </c>
      <c r="B351" s="264"/>
      <c r="C351" s="265"/>
      <c r="D351" s="264"/>
      <c r="E351" s="266"/>
      <c r="F351" s="266"/>
      <c r="G351" s="266"/>
      <c r="H351" s="264"/>
      <c r="I351" s="264"/>
      <c r="J351" s="264"/>
      <c r="K351" s="266"/>
      <c r="L351" s="267"/>
      <c r="M351" s="266"/>
      <c r="N351" s="268"/>
      <c r="O351" s="272"/>
      <c r="S351" s="73"/>
      <c r="V351" s="73"/>
      <c r="Y351" s="73"/>
      <c r="Z351" s="73"/>
      <c r="AA351" s="73"/>
      <c r="AB351" s="73"/>
      <c r="AC351" s="73"/>
      <c r="AD351" s="73"/>
      <c r="AG351" s="292"/>
    </row>
    <row r="352" spans="1:170" s="114" customFormat="1" ht="12.75" x14ac:dyDescent="0.2">
      <c r="A352" s="304" t="e">
        <f>#REF!</f>
        <v>#REF!</v>
      </c>
      <c r="B352" s="264"/>
      <c r="C352" s="265"/>
      <c r="D352" s="264"/>
      <c r="E352" s="266"/>
      <c r="F352" s="266"/>
      <c r="G352" s="266"/>
      <c r="H352" s="264"/>
      <c r="I352" s="264"/>
      <c r="J352" s="264"/>
      <c r="K352" s="266"/>
      <c r="L352" s="267"/>
      <c r="M352" s="266"/>
      <c r="N352" s="268"/>
      <c r="O352" s="272"/>
      <c r="S352" s="73"/>
      <c r="V352" s="73"/>
      <c r="Y352" s="73"/>
      <c r="Z352" s="73"/>
      <c r="AA352" s="73"/>
      <c r="AB352" s="73"/>
      <c r="AC352" s="73"/>
      <c r="AD352" s="73"/>
      <c r="AG352" s="292"/>
    </row>
    <row r="353" spans="1:170" s="114" customFormat="1" ht="12.75" x14ac:dyDescent="0.2">
      <c r="A353" s="304" t="e">
        <f>#REF!</f>
        <v>#REF!</v>
      </c>
      <c r="B353" s="264"/>
      <c r="C353" s="265"/>
      <c r="D353" s="264"/>
      <c r="E353" s="266"/>
      <c r="F353" s="266"/>
      <c r="G353" s="266"/>
      <c r="H353" s="264"/>
      <c r="I353" s="264"/>
      <c r="J353" s="264"/>
      <c r="K353" s="266"/>
      <c r="L353" s="267"/>
      <c r="M353" s="266"/>
      <c r="N353" s="268"/>
      <c r="O353" s="272"/>
      <c r="S353" s="73"/>
      <c r="V353" s="73"/>
      <c r="Y353" s="73"/>
      <c r="Z353" s="73"/>
      <c r="AA353" s="73"/>
      <c r="AB353" s="73"/>
      <c r="AC353" s="73"/>
      <c r="AD353" s="73"/>
      <c r="AG353" s="292"/>
    </row>
    <row r="354" spans="1:170" s="114" customFormat="1" ht="12.75" x14ac:dyDescent="0.2">
      <c r="A354" s="304" t="e">
        <f>#REF!</f>
        <v>#REF!</v>
      </c>
      <c r="B354" s="264"/>
      <c r="C354" s="265"/>
      <c r="D354" s="264"/>
      <c r="E354" s="266"/>
      <c r="F354" s="266"/>
      <c r="G354" s="266"/>
      <c r="H354" s="264"/>
      <c r="I354" s="264"/>
      <c r="J354" s="264"/>
      <c r="K354" s="266"/>
      <c r="L354" s="267"/>
      <c r="M354" s="266"/>
      <c r="N354" s="268"/>
      <c r="O354" s="272"/>
      <c r="S354" s="73"/>
      <c r="V354" s="73"/>
      <c r="Y354" s="73"/>
      <c r="Z354" s="73"/>
      <c r="AA354" s="73"/>
      <c r="AB354" s="73"/>
      <c r="AC354" s="73"/>
      <c r="AD354" s="73"/>
      <c r="AG354" s="292"/>
    </row>
    <row r="355" spans="1:170" s="114" customFormat="1" ht="12.75" x14ac:dyDescent="0.2">
      <c r="A355" s="304" t="e">
        <f>#REF!</f>
        <v>#REF!</v>
      </c>
      <c r="B355" s="264"/>
      <c r="C355" s="265"/>
      <c r="D355" s="264"/>
      <c r="E355" s="266"/>
      <c r="F355" s="266"/>
      <c r="G355" s="266"/>
      <c r="H355" s="264"/>
      <c r="I355" s="264"/>
      <c r="J355" s="264"/>
      <c r="K355" s="266"/>
      <c r="L355" s="267"/>
      <c r="M355" s="266"/>
      <c r="N355" s="268"/>
      <c r="O355" s="272"/>
      <c r="S355" s="73"/>
      <c r="V355" s="73"/>
      <c r="Y355" s="73"/>
      <c r="Z355" s="73"/>
      <c r="AA355" s="73"/>
      <c r="AB355" s="73"/>
      <c r="AC355" s="73"/>
      <c r="AD355" s="73"/>
      <c r="AG355" s="292"/>
    </row>
    <row r="356" spans="1:170" s="114" customFormat="1" ht="12.75" x14ac:dyDescent="0.2">
      <c r="A356" s="304" t="e">
        <f>#REF!</f>
        <v>#REF!</v>
      </c>
      <c r="B356" s="264"/>
      <c r="C356" s="265"/>
      <c r="D356" s="264"/>
      <c r="E356" s="266"/>
      <c r="F356" s="266"/>
      <c r="G356" s="266"/>
      <c r="H356" s="264"/>
      <c r="I356" s="264"/>
      <c r="J356" s="264"/>
      <c r="K356" s="266"/>
      <c r="L356" s="267"/>
      <c r="M356" s="266"/>
      <c r="N356" s="268"/>
      <c r="O356" s="272"/>
      <c r="S356" s="73"/>
      <c r="V356" s="73"/>
      <c r="Y356" s="73"/>
      <c r="Z356" s="73"/>
      <c r="AA356" s="73"/>
      <c r="AB356" s="73"/>
      <c r="AC356" s="73"/>
      <c r="AD356" s="73"/>
      <c r="AG356" s="292"/>
    </row>
    <row r="357" spans="1:170" s="114" customFormat="1" ht="12.75" x14ac:dyDescent="0.2">
      <c r="A357" s="304" t="e">
        <f>#REF!</f>
        <v>#REF!</v>
      </c>
      <c r="B357" s="264"/>
      <c r="C357" s="265"/>
      <c r="D357" s="264"/>
      <c r="E357" s="266"/>
      <c r="F357" s="266"/>
      <c r="G357" s="266"/>
      <c r="H357" s="264"/>
      <c r="I357" s="264"/>
      <c r="J357" s="264"/>
      <c r="K357" s="266"/>
      <c r="L357" s="267"/>
      <c r="M357" s="266"/>
      <c r="N357" s="268"/>
      <c r="O357" s="272"/>
      <c r="S357" s="73"/>
      <c r="V357" s="73"/>
      <c r="Y357" s="73"/>
      <c r="Z357" s="73"/>
      <c r="AA357" s="73"/>
      <c r="AB357" s="73"/>
      <c r="AC357" s="73"/>
      <c r="AD357" s="73"/>
      <c r="AG357" s="292"/>
    </row>
    <row r="358" spans="1:170" s="114" customFormat="1" ht="12.75" x14ac:dyDescent="0.2">
      <c r="A358" s="304" t="e">
        <f>#REF!</f>
        <v>#REF!</v>
      </c>
      <c r="B358" s="264"/>
      <c r="C358" s="265"/>
      <c r="D358" s="264"/>
      <c r="E358" s="266"/>
      <c r="F358" s="266"/>
      <c r="G358" s="266"/>
      <c r="H358" s="264"/>
      <c r="I358" s="264"/>
      <c r="J358" s="264"/>
      <c r="K358" s="266"/>
      <c r="L358" s="267"/>
      <c r="M358" s="266"/>
      <c r="N358" s="268"/>
      <c r="O358" s="272"/>
      <c r="S358" s="73"/>
      <c r="V358" s="73"/>
      <c r="Y358" s="73"/>
      <c r="Z358" s="73"/>
      <c r="AA358" s="73"/>
      <c r="AB358" s="73"/>
      <c r="AC358" s="73"/>
      <c r="AD358" s="73"/>
      <c r="AG358" s="292"/>
    </row>
    <row r="359" spans="1:170" s="114" customFormat="1" ht="12.75" x14ac:dyDescent="0.2">
      <c r="A359" s="304" t="e">
        <f>#REF!</f>
        <v>#REF!</v>
      </c>
      <c r="B359" s="264"/>
      <c r="C359" s="265"/>
      <c r="D359" s="264"/>
      <c r="E359" s="266"/>
      <c r="F359" s="266"/>
      <c r="G359" s="266"/>
      <c r="H359" s="264"/>
      <c r="I359" s="264"/>
      <c r="J359" s="264"/>
      <c r="K359" s="266"/>
      <c r="L359" s="267"/>
      <c r="M359" s="266"/>
      <c r="N359" s="268"/>
      <c r="O359" s="272"/>
      <c r="S359" s="73"/>
      <c r="V359" s="73"/>
      <c r="Y359" s="73"/>
      <c r="Z359" s="73"/>
      <c r="AA359" s="73"/>
      <c r="AB359" s="73"/>
      <c r="AC359" s="73"/>
      <c r="AD359" s="73"/>
      <c r="AG359" s="292"/>
    </row>
    <row r="360" spans="1:170" s="114" customFormat="1" ht="12.75" x14ac:dyDescent="0.2">
      <c r="A360" s="304" t="e">
        <f>#REF!</f>
        <v>#REF!</v>
      </c>
      <c r="B360" s="264"/>
      <c r="C360" s="265"/>
      <c r="D360" s="264"/>
      <c r="E360" s="266"/>
      <c r="F360" s="266"/>
      <c r="G360" s="266"/>
      <c r="H360" s="264"/>
      <c r="I360" s="264"/>
      <c r="J360" s="264"/>
      <c r="K360" s="266"/>
      <c r="L360" s="267"/>
      <c r="M360" s="266"/>
      <c r="N360" s="268"/>
      <c r="O360" s="272"/>
      <c r="S360" s="73"/>
      <c r="V360" s="73"/>
      <c r="Y360" s="73"/>
      <c r="Z360" s="73"/>
      <c r="AA360" s="73"/>
      <c r="AB360" s="73"/>
      <c r="AC360" s="73"/>
      <c r="AD360" s="73"/>
      <c r="AG360" s="292"/>
    </row>
    <row r="361" spans="1:170" ht="12.75" x14ac:dyDescent="0.2">
      <c r="A361" s="304" t="e">
        <f>#REF!</f>
        <v>#REF!</v>
      </c>
      <c r="B361" s="264"/>
      <c r="C361" s="265"/>
      <c r="D361" s="264"/>
      <c r="E361" s="266"/>
      <c r="F361" s="266"/>
      <c r="G361" s="266"/>
      <c r="H361" s="264"/>
      <c r="I361" s="264"/>
      <c r="J361" s="264"/>
      <c r="K361" s="266"/>
      <c r="L361" s="267"/>
      <c r="M361" s="266"/>
      <c r="N361" s="268"/>
      <c r="O361" s="272"/>
      <c r="AF361" s="114"/>
      <c r="AG361" s="292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  <c r="CC361" s="114"/>
      <c r="CD361" s="114"/>
      <c r="CE361" s="114"/>
      <c r="CF361" s="114"/>
      <c r="CG361" s="114"/>
      <c r="CH361" s="114"/>
      <c r="CI361" s="114"/>
      <c r="CJ361" s="114"/>
      <c r="CK361" s="114"/>
      <c r="CL361" s="114"/>
      <c r="CM361" s="114"/>
      <c r="CN361" s="114"/>
      <c r="CO361" s="114"/>
      <c r="CP361" s="114"/>
      <c r="CQ361" s="114"/>
      <c r="CR361" s="114"/>
      <c r="CS361" s="114"/>
      <c r="CT361" s="114"/>
      <c r="CU361" s="114"/>
      <c r="CV361" s="114"/>
      <c r="CW361" s="114"/>
      <c r="CX361" s="114"/>
      <c r="CY361" s="114"/>
      <c r="CZ361" s="114"/>
      <c r="DA361" s="114"/>
      <c r="DB361" s="114"/>
      <c r="DC361" s="114"/>
      <c r="DD361" s="114"/>
      <c r="DE361" s="114"/>
      <c r="DF361" s="114"/>
      <c r="DG361" s="114"/>
      <c r="DH361" s="114"/>
      <c r="DI361" s="114"/>
      <c r="DJ361" s="114"/>
      <c r="DK361" s="114"/>
      <c r="DL361" s="114"/>
      <c r="DM361" s="114"/>
      <c r="DN361" s="114"/>
      <c r="DO361" s="114"/>
      <c r="DP361" s="114"/>
      <c r="DQ361" s="114"/>
      <c r="DR361" s="114"/>
      <c r="DS361" s="114"/>
      <c r="DT361" s="114"/>
      <c r="DU361" s="114"/>
      <c r="DV361" s="114"/>
      <c r="DW361" s="114"/>
      <c r="DX361" s="114"/>
      <c r="DY361" s="114"/>
      <c r="DZ361" s="114"/>
      <c r="EA361" s="114"/>
      <c r="EB361" s="114"/>
      <c r="EC361" s="114"/>
      <c r="ED361" s="114"/>
      <c r="EE361" s="114"/>
      <c r="EF361" s="114"/>
      <c r="EG361" s="114"/>
      <c r="EH361" s="114"/>
      <c r="EI361" s="114"/>
      <c r="EJ361" s="114"/>
      <c r="EK361" s="114"/>
      <c r="EL361" s="114"/>
      <c r="EM361" s="114"/>
      <c r="EN361" s="114"/>
      <c r="EO361" s="114"/>
      <c r="EP361" s="114"/>
      <c r="EQ361" s="114"/>
      <c r="ER361" s="114"/>
      <c r="ES361" s="114"/>
      <c r="ET361" s="114"/>
      <c r="EU361" s="114"/>
      <c r="EV361" s="114"/>
      <c r="EW361" s="114"/>
      <c r="EX361" s="114"/>
      <c r="EY361" s="114"/>
      <c r="EZ361" s="114"/>
      <c r="FA361" s="114"/>
      <c r="FB361" s="114"/>
      <c r="FC361" s="114"/>
      <c r="FD361" s="114"/>
      <c r="FE361" s="114"/>
      <c r="FF361" s="114"/>
      <c r="FG361" s="114"/>
      <c r="FH361" s="114"/>
      <c r="FI361" s="114"/>
      <c r="FJ361" s="114"/>
      <c r="FK361" s="114"/>
      <c r="FL361" s="114"/>
      <c r="FM361" s="114"/>
      <c r="FN361" s="114"/>
    </row>
    <row r="362" spans="1:170" x14ac:dyDescent="0.25">
      <c r="A362" s="304" t="e">
        <f>#REF!</f>
        <v>#REF!</v>
      </c>
      <c r="B362" s="264"/>
      <c r="C362" s="265"/>
      <c r="D362" s="264"/>
      <c r="E362" s="266"/>
      <c r="F362" s="266"/>
      <c r="G362" s="266"/>
      <c r="H362" s="264"/>
      <c r="I362" s="264"/>
      <c r="J362" s="264"/>
      <c r="K362" s="266"/>
      <c r="L362" s="267"/>
      <c r="M362" s="266"/>
      <c r="N362" s="268"/>
      <c r="O362" s="272"/>
      <c r="AF362" s="114"/>
      <c r="AG362" s="292"/>
      <c r="AH362" s="114"/>
      <c r="AI362" s="114"/>
      <c r="AJ362" s="114"/>
      <c r="AK362" s="114"/>
      <c r="AL362" s="114"/>
      <c r="AM362" s="114"/>
      <c r="AN362" s="114"/>
      <c r="AO362" s="114"/>
      <c r="AP362" s="114"/>
      <c r="AQ362" s="114"/>
      <c r="AR362" s="114"/>
      <c r="AS362" s="114"/>
      <c r="AT362" s="114"/>
      <c r="AU362" s="114"/>
      <c r="AV362" s="114"/>
      <c r="AW362" s="114"/>
      <c r="AX362" s="114"/>
      <c r="AY362" s="114"/>
      <c r="AZ362" s="114"/>
      <c r="BA362" s="114"/>
      <c r="BB362" s="114"/>
      <c r="BD362" s="114"/>
      <c r="BE362" s="114"/>
      <c r="BF362" s="114"/>
      <c r="BG362" s="114"/>
      <c r="BH362" s="114"/>
      <c r="BI362" s="114"/>
      <c r="BJ362" s="114"/>
      <c r="BK362" s="114"/>
      <c r="BL362" s="114"/>
      <c r="BM362" s="114"/>
      <c r="BN362" s="114"/>
      <c r="BO362" s="114"/>
      <c r="BP362" s="114"/>
      <c r="BQ362" s="114"/>
      <c r="BR362" s="114"/>
      <c r="BS362" s="114"/>
      <c r="BT362" s="114"/>
      <c r="BU362" s="114"/>
      <c r="BV362" s="114"/>
      <c r="BW362" s="114"/>
      <c r="BX362" s="114"/>
      <c r="BY362" s="114"/>
      <c r="BZ362" s="114"/>
      <c r="CA362" s="114"/>
      <c r="CB362" s="114"/>
      <c r="CC362" s="114"/>
      <c r="CD362" s="114"/>
      <c r="CE362" s="114"/>
      <c r="CF362" s="114"/>
      <c r="CG362" s="114"/>
      <c r="CH362" s="114"/>
      <c r="CI362" s="114"/>
      <c r="CJ362" s="114"/>
      <c r="CK362" s="114"/>
      <c r="CL362" s="114"/>
      <c r="CM362" s="114"/>
      <c r="CN362" s="114"/>
      <c r="CO362" s="114"/>
      <c r="CP362" s="114"/>
      <c r="CQ362" s="114"/>
      <c r="CR362" s="114"/>
      <c r="CS362" s="114"/>
      <c r="CT362" s="114"/>
      <c r="CU362" s="114"/>
      <c r="CV362" s="114"/>
      <c r="CW362" s="114"/>
      <c r="CX362" s="114"/>
      <c r="CY362" s="114"/>
      <c r="CZ362" s="114"/>
      <c r="DA362" s="114"/>
      <c r="DB362" s="114"/>
      <c r="DC362" s="114"/>
      <c r="DD362" s="114"/>
      <c r="DE362" s="114"/>
      <c r="DF362" s="114"/>
      <c r="DG362" s="114"/>
      <c r="DH362" s="114"/>
      <c r="DI362" s="114"/>
      <c r="DJ362" s="114"/>
      <c r="DK362" s="114"/>
      <c r="DL362" s="114"/>
      <c r="DM362" s="114"/>
      <c r="DN362" s="114"/>
      <c r="DO362" s="114"/>
      <c r="DP362" s="114"/>
      <c r="DQ362" s="114"/>
      <c r="DR362" s="114"/>
      <c r="DS362" s="114"/>
      <c r="DT362" s="114"/>
      <c r="DU362" s="114"/>
      <c r="DV362" s="114"/>
      <c r="DW362" s="114"/>
      <c r="DX362" s="114"/>
      <c r="DY362" s="114"/>
      <c r="DZ362" s="114"/>
      <c r="EA362" s="114"/>
      <c r="EB362" s="114"/>
      <c r="ED362" s="114"/>
      <c r="EE362" s="114"/>
      <c r="EF362" s="114"/>
      <c r="EG362" s="114"/>
      <c r="EH362" s="114"/>
      <c r="EI362" s="114"/>
      <c r="EJ362" s="114"/>
      <c r="EK362" s="114"/>
      <c r="EL362" s="114"/>
      <c r="EM362" s="114"/>
      <c r="EO362" s="114"/>
      <c r="EP362" s="114"/>
      <c r="EQ362" s="114"/>
      <c r="ER362" s="114"/>
      <c r="ES362" s="114"/>
      <c r="ET362" s="114"/>
      <c r="EU362" s="114"/>
      <c r="EV362" s="114"/>
      <c r="EW362" s="114"/>
      <c r="EX362" s="114"/>
      <c r="EY362" s="114"/>
      <c r="EZ362" s="114"/>
      <c r="FA362" s="114"/>
      <c r="FB362" s="114"/>
      <c r="FC362" s="114"/>
      <c r="FD362" s="114"/>
      <c r="FE362" s="114"/>
      <c r="FF362" s="114"/>
      <c r="FG362" s="114"/>
      <c r="FH362" s="114"/>
      <c r="FI362" s="114"/>
      <c r="FJ362" s="114"/>
      <c r="FK362" s="114"/>
      <c r="FL362" s="114"/>
      <c r="FM362" s="114"/>
      <c r="FN362" s="114"/>
    </row>
    <row r="363" spans="1:170" x14ac:dyDescent="0.25">
      <c r="A363" s="304" t="e">
        <f>#REF!</f>
        <v>#REF!</v>
      </c>
      <c r="B363" s="264"/>
      <c r="C363" s="265"/>
      <c r="D363" s="264"/>
      <c r="E363" s="266"/>
      <c r="F363" s="266"/>
      <c r="G363" s="266"/>
      <c r="H363" s="264"/>
      <c r="I363" s="264"/>
      <c r="J363" s="264"/>
      <c r="K363" s="266"/>
      <c r="L363" s="267"/>
      <c r="M363" s="266"/>
      <c r="N363" s="268"/>
      <c r="O363" s="272"/>
    </row>
    <row r="364" spans="1:170" x14ac:dyDescent="0.25">
      <c r="A364" s="304" t="e">
        <f>#REF!</f>
        <v>#REF!</v>
      </c>
      <c r="B364" s="264"/>
      <c r="C364" s="265"/>
      <c r="D364" s="264"/>
      <c r="E364" s="266"/>
      <c r="F364" s="266"/>
      <c r="G364" s="266"/>
      <c r="H364" s="264"/>
      <c r="I364" s="264"/>
      <c r="J364" s="264"/>
      <c r="K364" s="266"/>
      <c r="L364" s="267"/>
      <c r="M364" s="266"/>
      <c r="N364" s="268"/>
      <c r="O364" s="272"/>
    </row>
    <row r="365" spans="1:170" x14ac:dyDescent="0.25">
      <c r="A365" s="304" t="e">
        <f>#REF!</f>
        <v>#REF!</v>
      </c>
      <c r="B365" s="264"/>
      <c r="C365" s="265"/>
      <c r="D365" s="264"/>
      <c r="E365" s="266"/>
      <c r="F365" s="266"/>
      <c r="G365" s="266"/>
      <c r="H365" s="264"/>
      <c r="I365" s="264"/>
      <c r="J365" s="264"/>
      <c r="K365" s="266"/>
      <c r="L365" s="267"/>
      <c r="M365" s="266"/>
      <c r="N365" s="268"/>
      <c r="O365" s="272"/>
    </row>
    <row r="366" spans="1:170" x14ac:dyDescent="0.25">
      <c r="A366" s="304" t="e">
        <f>#REF!</f>
        <v>#REF!</v>
      </c>
      <c r="B366" s="264"/>
      <c r="C366" s="265"/>
      <c r="D366" s="264"/>
      <c r="E366" s="266"/>
      <c r="F366" s="266"/>
      <c r="G366" s="266"/>
      <c r="H366" s="264"/>
      <c r="I366" s="264"/>
      <c r="J366" s="264"/>
      <c r="K366" s="266"/>
      <c r="L366" s="267"/>
      <c r="M366" s="266"/>
      <c r="N366" s="268"/>
      <c r="O366" s="272"/>
    </row>
    <row r="367" spans="1:170" x14ac:dyDescent="0.25">
      <c r="A367" s="304" t="e">
        <f>#REF!</f>
        <v>#REF!</v>
      </c>
      <c r="B367" s="264"/>
      <c r="C367" s="265"/>
      <c r="D367" s="264"/>
      <c r="E367" s="266"/>
      <c r="F367" s="266"/>
      <c r="G367" s="266"/>
      <c r="H367" s="264"/>
      <c r="I367" s="264"/>
      <c r="J367" s="264"/>
      <c r="K367" s="266"/>
      <c r="L367" s="267"/>
      <c r="M367" s="266"/>
      <c r="N367" s="268"/>
      <c r="O367" s="272"/>
    </row>
    <row r="368" spans="1:170" x14ac:dyDescent="0.25">
      <c r="A368" s="304" t="e">
        <f>#REF!</f>
        <v>#REF!</v>
      </c>
      <c r="B368" s="264"/>
      <c r="C368" s="265"/>
      <c r="D368" s="264"/>
      <c r="E368" s="266"/>
      <c r="F368" s="266"/>
      <c r="G368" s="266"/>
      <c r="H368" s="264"/>
      <c r="I368" s="264"/>
      <c r="J368" s="264"/>
      <c r="K368" s="266"/>
      <c r="L368" s="267"/>
      <c r="M368" s="266"/>
      <c r="N368" s="268"/>
      <c r="O368" s="272"/>
    </row>
    <row r="369" spans="1:15" x14ac:dyDescent="0.25">
      <c r="A369" s="304" t="e">
        <f>#REF!</f>
        <v>#REF!</v>
      </c>
      <c r="B369" s="264"/>
      <c r="C369" s="265"/>
      <c r="D369" s="264"/>
      <c r="E369" s="266"/>
      <c r="F369" s="266"/>
      <c r="G369" s="266"/>
      <c r="H369" s="264"/>
      <c r="I369" s="264"/>
      <c r="J369" s="264"/>
      <c r="K369" s="266"/>
      <c r="L369" s="267"/>
      <c r="M369" s="266"/>
      <c r="N369" s="268"/>
      <c r="O369" s="272"/>
    </row>
    <row r="370" spans="1:15" x14ac:dyDescent="0.25">
      <c r="A370" s="304" t="e">
        <f>#REF!</f>
        <v>#REF!</v>
      </c>
      <c r="B370" s="264"/>
      <c r="C370" s="265"/>
      <c r="D370" s="264"/>
      <c r="E370" s="266"/>
      <c r="F370" s="266"/>
      <c r="G370" s="266"/>
      <c r="H370" s="264"/>
      <c r="I370" s="264"/>
      <c r="J370" s="264"/>
      <c r="K370" s="266"/>
      <c r="L370" s="267"/>
      <c r="M370" s="266"/>
      <c r="N370" s="268"/>
      <c r="O370" s="272"/>
    </row>
    <row r="371" spans="1:15" x14ac:dyDescent="0.25">
      <c r="A371" s="304" t="e">
        <f>#REF!</f>
        <v>#REF!</v>
      </c>
      <c r="B371" s="264"/>
      <c r="C371" s="265"/>
      <c r="D371" s="264"/>
      <c r="E371" s="266"/>
      <c r="F371" s="266"/>
      <c r="G371" s="266"/>
      <c r="H371" s="264"/>
      <c r="I371" s="264"/>
      <c r="J371" s="264"/>
      <c r="K371" s="266"/>
      <c r="L371" s="267"/>
      <c r="M371" s="266"/>
      <c r="N371" s="268"/>
      <c r="O371" s="272"/>
    </row>
    <row r="372" spans="1:15" x14ac:dyDescent="0.25">
      <c r="A372" s="304" t="e">
        <f>#REF!</f>
        <v>#REF!</v>
      </c>
      <c r="B372" s="264"/>
      <c r="C372" s="265"/>
      <c r="D372" s="264"/>
      <c r="E372" s="264"/>
      <c r="F372" s="264"/>
      <c r="G372" s="264"/>
      <c r="H372" s="264"/>
      <c r="I372" s="264"/>
      <c r="J372" s="264"/>
      <c r="K372" s="266"/>
      <c r="L372" s="264"/>
      <c r="M372" s="266"/>
      <c r="N372" s="263"/>
      <c r="O372" s="272"/>
    </row>
    <row r="373" spans="1:15" x14ac:dyDescent="0.25">
      <c r="A373" s="304" t="e">
        <f>#REF!</f>
        <v>#REF!</v>
      </c>
      <c r="B373" s="264"/>
      <c r="C373" s="265"/>
      <c r="D373" s="264"/>
      <c r="E373" s="264"/>
      <c r="F373" s="264"/>
      <c r="G373" s="264"/>
      <c r="H373" s="264"/>
      <c r="I373" s="264"/>
      <c r="J373" s="264"/>
      <c r="K373" s="266"/>
      <c r="L373" s="264"/>
      <c r="M373" s="266"/>
      <c r="N373" s="263"/>
      <c r="O373" s="272"/>
    </row>
    <row r="374" spans="1:15" x14ac:dyDescent="0.25">
      <c r="A374" s="304" t="e">
        <f>#REF!</f>
        <v>#REF!</v>
      </c>
      <c r="B374" s="264"/>
      <c r="C374" s="265"/>
      <c r="D374" s="264"/>
      <c r="E374" s="264"/>
      <c r="F374" s="264"/>
      <c r="G374" s="264"/>
      <c r="H374" s="264"/>
      <c r="I374" s="264"/>
      <c r="J374" s="264"/>
      <c r="K374" s="266"/>
      <c r="L374" s="264"/>
      <c r="M374" s="266"/>
      <c r="N374" s="263"/>
      <c r="O374" s="272"/>
    </row>
    <row r="375" spans="1:15" x14ac:dyDescent="0.25">
      <c r="A375" s="304" t="e">
        <f>#REF!</f>
        <v>#REF!</v>
      </c>
      <c r="B375" s="264"/>
      <c r="C375" s="265"/>
      <c r="D375" s="264"/>
      <c r="E375" s="264"/>
      <c r="F375" s="264"/>
      <c r="G375" s="264"/>
      <c r="H375" s="264"/>
      <c r="I375" s="264"/>
      <c r="J375" s="264"/>
      <c r="K375" s="266"/>
      <c r="L375" s="264"/>
      <c r="M375" s="266"/>
      <c r="N375" s="263"/>
      <c r="O375" s="272"/>
    </row>
    <row r="376" spans="1:15" x14ac:dyDescent="0.25">
      <c r="A376" s="304" t="e">
        <f>#REF!</f>
        <v>#REF!</v>
      </c>
      <c r="B376" s="262"/>
      <c r="C376" s="262"/>
      <c r="D376" s="262"/>
      <c r="E376" s="262"/>
      <c r="F376" s="262"/>
      <c r="G376" s="262"/>
      <c r="H376" s="262"/>
      <c r="I376" s="262"/>
      <c r="J376" s="262"/>
      <c r="K376" s="262"/>
      <c r="L376" s="262"/>
      <c r="M376" s="262"/>
      <c r="N376" s="260"/>
      <c r="O376" s="261"/>
    </row>
    <row r="377" spans="1:15" x14ac:dyDescent="0.25">
      <c r="A377" s="304" t="e">
        <f>#REF!</f>
        <v>#REF!</v>
      </c>
      <c r="B377" s="262"/>
      <c r="C377" s="262"/>
      <c r="D377" s="262"/>
      <c r="E377" s="262"/>
      <c r="F377" s="262"/>
      <c r="G377" s="262"/>
      <c r="H377" s="262"/>
      <c r="I377" s="262"/>
      <c r="J377" s="262"/>
      <c r="K377" s="262"/>
      <c r="L377" s="262"/>
      <c r="M377" s="262"/>
      <c r="N377" s="260"/>
      <c r="O377" s="261"/>
    </row>
    <row r="378" spans="1:15" x14ac:dyDescent="0.25">
      <c r="A378" s="304" t="e">
        <f>#REF!</f>
        <v>#REF!</v>
      </c>
      <c r="B378" s="262"/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0"/>
      <c r="O378" s="261"/>
    </row>
    <row r="379" spans="1:15" x14ac:dyDescent="0.25">
      <c r="A379" s="304" t="e">
        <f>#REF!</f>
        <v>#REF!</v>
      </c>
      <c r="B379" s="262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0"/>
      <c r="O379" s="261"/>
    </row>
    <row r="380" spans="1:15" x14ac:dyDescent="0.25">
      <c r="A380" s="304" t="e">
        <f>#REF!</f>
        <v>#REF!</v>
      </c>
      <c r="B380" s="262"/>
      <c r="C380" s="262"/>
      <c r="D380" s="262"/>
      <c r="E380" s="262"/>
      <c r="F380" s="262"/>
      <c r="G380" s="262"/>
      <c r="H380" s="262"/>
      <c r="I380" s="262"/>
      <c r="J380" s="262"/>
      <c r="K380" s="262"/>
      <c r="L380" s="262"/>
      <c r="M380" s="262"/>
      <c r="N380" s="260"/>
      <c r="O380" s="261"/>
    </row>
    <row r="381" spans="1:15" x14ac:dyDescent="0.25">
      <c r="A381" s="304" t="e">
        <f>#REF!</f>
        <v>#REF!</v>
      </c>
      <c r="B381" s="262"/>
      <c r="C381" s="262"/>
      <c r="D381" s="262"/>
      <c r="E381" s="262"/>
      <c r="F381" s="262"/>
      <c r="G381" s="262"/>
      <c r="H381" s="262"/>
      <c r="I381" s="262"/>
      <c r="J381" s="262"/>
      <c r="K381" s="262"/>
      <c r="L381" s="262"/>
      <c r="M381" s="262"/>
      <c r="N381" s="260"/>
      <c r="O381" s="261"/>
    </row>
    <row r="382" spans="1:15" x14ac:dyDescent="0.25">
      <c r="A382" s="304" t="e">
        <f>#REF!</f>
        <v>#REF!</v>
      </c>
      <c r="B382" s="262"/>
      <c r="C382" s="262"/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0"/>
      <c r="O382" s="261"/>
    </row>
    <row r="383" spans="1:15" x14ac:dyDescent="0.25">
      <c r="A383" s="304" t="e">
        <f>#REF!</f>
        <v>#REF!</v>
      </c>
      <c r="B383" s="262"/>
      <c r="C383" s="262"/>
      <c r="D383" s="262"/>
      <c r="E383" s="262"/>
      <c r="F383" s="262"/>
      <c r="G383" s="262"/>
      <c r="H383" s="262"/>
      <c r="I383" s="262"/>
      <c r="J383" s="262"/>
      <c r="K383" s="262"/>
      <c r="L383" s="262"/>
      <c r="M383" s="262"/>
      <c r="N383" s="260"/>
      <c r="O383" s="261"/>
    </row>
    <row r="384" spans="1:15" x14ac:dyDescent="0.25">
      <c r="A384" s="304" t="e">
        <f>#REF!</f>
        <v>#REF!</v>
      </c>
      <c r="B384" s="262"/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  <c r="N384" s="260"/>
      <c r="O384" s="261"/>
    </row>
    <row r="385" spans="1:15" x14ac:dyDescent="0.25">
      <c r="A385" s="304" t="e">
        <f>#REF!</f>
        <v>#REF!</v>
      </c>
      <c r="B385" s="262"/>
      <c r="C385" s="262"/>
      <c r="D385" s="262"/>
      <c r="E385" s="262"/>
      <c r="F385" s="262"/>
      <c r="G385" s="262"/>
      <c r="H385" s="262"/>
      <c r="I385" s="262"/>
      <c r="J385" s="262"/>
      <c r="K385" s="262"/>
      <c r="L385" s="262"/>
      <c r="M385" s="262"/>
      <c r="N385" s="260"/>
      <c r="O385" s="261"/>
    </row>
    <row r="386" spans="1:15" x14ac:dyDescent="0.25">
      <c r="A386" s="304" t="e">
        <f>#REF!</f>
        <v>#REF!</v>
      </c>
      <c r="B386" s="262"/>
      <c r="C386" s="262"/>
      <c r="D386" s="262"/>
      <c r="E386" s="262"/>
      <c r="F386" s="262"/>
      <c r="G386" s="262"/>
      <c r="H386" s="262"/>
      <c r="I386" s="262"/>
      <c r="J386" s="262"/>
      <c r="K386" s="262"/>
      <c r="L386" s="262"/>
      <c r="M386" s="262"/>
      <c r="N386" s="260"/>
      <c r="O386" s="261"/>
    </row>
    <row r="387" spans="1:15" x14ac:dyDescent="0.25">
      <c r="A387" s="304" t="e">
        <f>#REF!</f>
        <v>#REF!</v>
      </c>
      <c r="B387" s="262"/>
      <c r="C387" s="262"/>
      <c r="D387" s="262"/>
      <c r="E387" s="262"/>
      <c r="F387" s="262"/>
      <c r="G387" s="262"/>
      <c r="H387" s="262"/>
      <c r="I387" s="262"/>
      <c r="J387" s="262"/>
      <c r="K387" s="262"/>
      <c r="L387" s="262"/>
      <c r="M387" s="262"/>
      <c r="N387" s="260"/>
      <c r="O387" s="261"/>
    </row>
    <row r="388" spans="1:15" x14ac:dyDescent="0.25">
      <c r="A388" s="304" t="e">
        <f>#REF!</f>
        <v>#REF!</v>
      </c>
      <c r="B388" s="262"/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2"/>
      <c r="N388" s="260"/>
      <c r="O388" s="261"/>
    </row>
    <row r="389" spans="1:15" x14ac:dyDescent="0.25">
      <c r="A389" s="304" t="e">
        <f>#REF!</f>
        <v>#REF!</v>
      </c>
      <c r="B389" s="262"/>
      <c r="C389" s="262"/>
      <c r="D389" s="262"/>
      <c r="E389" s="262"/>
      <c r="F389" s="262"/>
      <c r="G389" s="262"/>
      <c r="H389" s="262"/>
      <c r="I389" s="262"/>
      <c r="J389" s="262"/>
      <c r="K389" s="262"/>
      <c r="L389" s="262"/>
      <c r="M389" s="262"/>
      <c r="N389" s="260"/>
      <c r="O389" s="261"/>
    </row>
    <row r="390" spans="1:15" x14ac:dyDescent="0.25">
      <c r="A390" s="304" t="e">
        <f>#REF!</f>
        <v>#REF!</v>
      </c>
      <c r="B390" s="262"/>
      <c r="C390" s="262"/>
      <c r="D390" s="262"/>
      <c r="E390" s="262"/>
      <c r="F390" s="262"/>
      <c r="G390" s="262"/>
      <c r="H390" s="262"/>
      <c r="I390" s="262"/>
      <c r="J390" s="262"/>
      <c r="K390" s="262"/>
      <c r="L390" s="262"/>
      <c r="M390" s="262"/>
      <c r="N390" s="260"/>
      <c r="O390" s="261"/>
    </row>
    <row r="391" spans="1:15" x14ac:dyDescent="0.25">
      <c r="A391" s="304" t="e">
        <f>#REF!</f>
        <v>#REF!</v>
      </c>
    </row>
    <row r="392" spans="1:15" x14ac:dyDescent="0.25">
      <c r="A392" s="304" t="e">
        <f>#REF!</f>
        <v>#REF!</v>
      </c>
    </row>
    <row r="393" spans="1:15" x14ac:dyDescent="0.25">
      <c r="A393" s="304" t="e">
        <f>#REF!</f>
        <v>#REF!</v>
      </c>
    </row>
    <row r="394" spans="1:15" x14ac:dyDescent="0.25">
      <c r="A394" s="304" t="e">
        <f>#REF!</f>
        <v>#REF!</v>
      </c>
    </row>
    <row r="395" spans="1:15" x14ac:dyDescent="0.25">
      <c r="A395" s="304" t="e">
        <f>#REF!</f>
        <v>#REF!</v>
      </c>
    </row>
    <row r="396" spans="1:15" x14ac:dyDescent="0.25">
      <c r="A396" s="304" t="e">
        <f>#REF!</f>
        <v>#REF!</v>
      </c>
    </row>
    <row r="397" spans="1:15" x14ac:dyDescent="0.25">
      <c r="A397" s="304" t="e">
        <f>#REF!</f>
        <v>#REF!</v>
      </c>
    </row>
    <row r="398" spans="1:15" x14ac:dyDescent="0.25">
      <c r="A398" s="304" t="e">
        <f>#REF!</f>
        <v>#REF!</v>
      </c>
    </row>
    <row r="399" spans="1:15" x14ac:dyDescent="0.25">
      <c r="A399" s="304" t="e">
        <f>#REF!</f>
        <v>#REF!</v>
      </c>
    </row>
    <row r="400" spans="1:15" x14ac:dyDescent="0.25">
      <c r="A400" s="304" t="e">
        <f>#REF!</f>
        <v>#REF!</v>
      </c>
    </row>
    <row r="401" spans="1:1" x14ac:dyDescent="0.25">
      <c r="A401" s="304" t="e">
        <f>#REF!</f>
        <v>#REF!</v>
      </c>
    </row>
    <row r="402" spans="1:1" x14ac:dyDescent="0.25">
      <c r="A402" s="304" t="e">
        <f>#REF!</f>
        <v>#REF!</v>
      </c>
    </row>
    <row r="403" spans="1:1" x14ac:dyDescent="0.25">
      <c r="A403" s="304" t="e">
        <f>#REF!</f>
        <v>#REF!</v>
      </c>
    </row>
    <row r="404" spans="1:1" x14ac:dyDescent="0.25">
      <c r="A404" s="304" t="e">
        <f>#REF!</f>
        <v>#REF!</v>
      </c>
    </row>
    <row r="405" spans="1:1" x14ac:dyDescent="0.25">
      <c r="A405" s="304" t="e">
        <f>#REF!</f>
        <v>#REF!</v>
      </c>
    </row>
    <row r="406" spans="1:1" x14ac:dyDescent="0.25">
      <c r="A406" s="304" t="e">
        <f>#REF!</f>
        <v>#REF!</v>
      </c>
    </row>
    <row r="407" spans="1:1" x14ac:dyDescent="0.25">
      <c r="A407" s="304" t="e">
        <f>#REF!</f>
        <v>#REF!</v>
      </c>
    </row>
    <row r="408" spans="1:1" x14ac:dyDescent="0.25">
      <c r="A408" s="304" t="e">
        <f>#REF!</f>
        <v>#REF!</v>
      </c>
    </row>
    <row r="409" spans="1:1" x14ac:dyDescent="0.25">
      <c r="A409" s="304" t="e">
        <f>#REF!</f>
        <v>#REF!</v>
      </c>
    </row>
    <row r="410" spans="1:1" x14ac:dyDescent="0.25">
      <c r="A410" s="304" t="e">
        <f>#REF!</f>
        <v>#REF!</v>
      </c>
    </row>
    <row r="411" spans="1:1" x14ac:dyDescent="0.25">
      <c r="A411" s="304" t="e">
        <f>#REF!</f>
        <v>#REF!</v>
      </c>
    </row>
    <row r="412" spans="1:1" x14ac:dyDescent="0.25">
      <c r="A412" s="304" t="e">
        <f>#REF!</f>
        <v>#REF!</v>
      </c>
    </row>
    <row r="413" spans="1:1" x14ac:dyDescent="0.25">
      <c r="A413" s="304" t="e">
        <f>#REF!</f>
        <v>#REF!</v>
      </c>
    </row>
    <row r="414" spans="1:1" x14ac:dyDescent="0.25">
      <c r="A414" s="304" t="e">
        <f>#REF!</f>
        <v>#REF!</v>
      </c>
    </row>
    <row r="415" spans="1:1" x14ac:dyDescent="0.25">
      <c r="A415" s="304" t="e">
        <f>#REF!</f>
        <v>#REF!</v>
      </c>
    </row>
    <row r="416" spans="1:1" x14ac:dyDescent="0.25">
      <c r="A416" s="304" t="e">
        <f>#REF!</f>
        <v>#REF!</v>
      </c>
    </row>
    <row r="417" spans="1:1" x14ac:dyDescent="0.25">
      <c r="A417" s="304" t="e">
        <f>#REF!</f>
        <v>#REF!</v>
      </c>
    </row>
    <row r="418" spans="1:1" x14ac:dyDescent="0.25">
      <c r="A418" s="304" t="e">
        <f>#REF!</f>
        <v>#REF!</v>
      </c>
    </row>
    <row r="419" spans="1:1" x14ac:dyDescent="0.25">
      <c r="A419" s="304" t="e">
        <f>#REF!</f>
        <v>#REF!</v>
      </c>
    </row>
    <row r="420" spans="1:1" x14ac:dyDescent="0.25">
      <c r="A420" s="304" t="e">
        <f>#REF!</f>
        <v>#REF!</v>
      </c>
    </row>
    <row r="421" spans="1:1" x14ac:dyDescent="0.25">
      <c r="A421" s="304" t="e">
        <f>#REF!</f>
        <v>#REF!</v>
      </c>
    </row>
    <row r="422" spans="1:1" x14ac:dyDescent="0.25">
      <c r="A422" s="304" t="e">
        <f>#REF!</f>
        <v>#REF!</v>
      </c>
    </row>
    <row r="423" spans="1:1" x14ac:dyDescent="0.25">
      <c r="A423" s="304" t="e">
        <f>#REF!</f>
        <v>#REF!</v>
      </c>
    </row>
    <row r="424" spans="1:1" x14ac:dyDescent="0.25">
      <c r="A424" s="304" t="e">
        <f>#REF!</f>
        <v>#REF!</v>
      </c>
    </row>
    <row r="425" spans="1:1" x14ac:dyDescent="0.25">
      <c r="A425" s="304" t="e">
        <f>#REF!</f>
        <v>#REF!</v>
      </c>
    </row>
    <row r="426" spans="1:1" x14ac:dyDescent="0.25">
      <c r="A426" s="304" t="e">
        <f>#REF!</f>
        <v>#REF!</v>
      </c>
    </row>
    <row r="427" spans="1:1" x14ac:dyDescent="0.25">
      <c r="A427" s="304" t="e">
        <f>#REF!</f>
        <v>#REF!</v>
      </c>
    </row>
    <row r="428" spans="1:1" x14ac:dyDescent="0.25">
      <c r="A428" s="304" t="e">
        <f>#REF!</f>
        <v>#REF!</v>
      </c>
    </row>
    <row r="429" spans="1:1" x14ac:dyDescent="0.25">
      <c r="A429" s="304" t="e">
        <f>#REF!</f>
        <v>#REF!</v>
      </c>
    </row>
    <row r="430" spans="1:1" x14ac:dyDescent="0.25">
      <c r="A430" s="304" t="e">
        <f>#REF!</f>
        <v>#REF!</v>
      </c>
    </row>
    <row r="431" spans="1:1" x14ac:dyDescent="0.25">
      <c r="A431" s="304" t="e">
        <f>#REF!</f>
        <v>#REF!</v>
      </c>
    </row>
    <row r="432" spans="1:1" x14ac:dyDescent="0.25">
      <c r="A432" s="304" t="e">
        <f>#REF!</f>
        <v>#REF!</v>
      </c>
    </row>
    <row r="433" spans="1:1" x14ac:dyDescent="0.25">
      <c r="A433" s="304" t="e">
        <f>#REF!</f>
        <v>#REF!</v>
      </c>
    </row>
    <row r="434" spans="1:1" x14ac:dyDescent="0.25">
      <c r="A434" s="304" t="e">
        <f>#REF!</f>
        <v>#REF!</v>
      </c>
    </row>
    <row r="435" spans="1:1" x14ac:dyDescent="0.25">
      <c r="A435" s="304" t="e">
        <f>#REF!</f>
        <v>#REF!</v>
      </c>
    </row>
    <row r="436" spans="1:1" x14ac:dyDescent="0.25">
      <c r="A436" s="304" t="e">
        <f>#REF!</f>
        <v>#REF!</v>
      </c>
    </row>
    <row r="437" spans="1:1" x14ac:dyDescent="0.25">
      <c r="A437" s="304" t="e">
        <f>#REF!</f>
        <v>#REF!</v>
      </c>
    </row>
    <row r="438" spans="1:1" x14ac:dyDescent="0.25">
      <c r="A438" s="304" t="e">
        <f>#REF!</f>
        <v>#REF!</v>
      </c>
    </row>
    <row r="439" spans="1:1" x14ac:dyDescent="0.25">
      <c r="A439" s="304" t="e">
        <f>#REF!</f>
        <v>#REF!</v>
      </c>
    </row>
    <row r="440" spans="1:1" x14ac:dyDescent="0.25">
      <c r="A440" s="304" t="e">
        <f>#REF!</f>
        <v>#REF!</v>
      </c>
    </row>
    <row r="441" spans="1:1" x14ac:dyDescent="0.25">
      <c r="A441" s="304" t="e">
        <f>#REF!</f>
        <v>#REF!</v>
      </c>
    </row>
    <row r="442" spans="1:1" x14ac:dyDescent="0.25">
      <c r="A442" s="304" t="e">
        <f>#REF!</f>
        <v>#REF!</v>
      </c>
    </row>
    <row r="443" spans="1:1" x14ac:dyDescent="0.25">
      <c r="A443" s="304" t="e">
        <f>#REF!</f>
        <v>#REF!</v>
      </c>
    </row>
    <row r="444" spans="1:1" x14ac:dyDescent="0.25">
      <c r="A444" s="304" t="e">
        <f>#REF!</f>
        <v>#REF!</v>
      </c>
    </row>
    <row r="445" spans="1:1" x14ac:dyDescent="0.25">
      <c r="A445" s="304" t="e">
        <f>#REF!</f>
        <v>#REF!</v>
      </c>
    </row>
    <row r="446" spans="1:1" x14ac:dyDescent="0.25">
      <c r="A446" s="304" t="e">
        <f>#REF!</f>
        <v>#REF!</v>
      </c>
    </row>
    <row r="447" spans="1:1" x14ac:dyDescent="0.25">
      <c r="A447" s="304" t="e">
        <f>#REF!</f>
        <v>#REF!</v>
      </c>
    </row>
    <row r="448" spans="1:1" x14ac:dyDescent="0.25">
      <c r="A448" s="304" t="e">
        <f>#REF!</f>
        <v>#REF!</v>
      </c>
    </row>
    <row r="449" spans="1:1" x14ac:dyDescent="0.25">
      <c r="A449" s="304" t="e">
        <f>#REF!</f>
        <v>#REF!</v>
      </c>
    </row>
    <row r="450" spans="1:1" x14ac:dyDescent="0.25">
      <c r="A450" s="304" t="e">
        <f>#REF!</f>
        <v>#REF!</v>
      </c>
    </row>
    <row r="451" spans="1:1" x14ac:dyDescent="0.25">
      <c r="A451" s="304" t="e">
        <f>#REF!</f>
        <v>#REF!</v>
      </c>
    </row>
    <row r="452" spans="1:1" x14ac:dyDescent="0.25">
      <c r="A452" s="304" t="e">
        <f>#REF!</f>
        <v>#REF!</v>
      </c>
    </row>
    <row r="453" spans="1:1" x14ac:dyDescent="0.25">
      <c r="A453" s="304" t="e">
        <f>#REF!</f>
        <v>#REF!</v>
      </c>
    </row>
    <row r="454" spans="1:1" x14ac:dyDescent="0.25">
      <c r="A454" s="304" t="e">
        <f>#REF!</f>
        <v>#REF!</v>
      </c>
    </row>
    <row r="455" spans="1:1" x14ac:dyDescent="0.25">
      <c r="A455" s="304" t="e">
        <f>#REF!</f>
        <v>#REF!</v>
      </c>
    </row>
    <row r="456" spans="1:1" x14ac:dyDescent="0.25">
      <c r="A456" s="304" t="e">
        <f>#REF!</f>
        <v>#REF!</v>
      </c>
    </row>
    <row r="457" spans="1:1" x14ac:dyDescent="0.25">
      <c r="A457" s="304" t="e">
        <f>#REF!</f>
        <v>#REF!</v>
      </c>
    </row>
    <row r="458" spans="1:1" x14ac:dyDescent="0.25">
      <c r="A458" s="304" t="e">
        <f>#REF!</f>
        <v>#REF!</v>
      </c>
    </row>
    <row r="459" spans="1:1" x14ac:dyDescent="0.25">
      <c r="A459" s="304" t="e">
        <f>#REF!</f>
        <v>#REF!</v>
      </c>
    </row>
    <row r="460" spans="1:1" x14ac:dyDescent="0.25">
      <c r="A460" s="304" t="e">
        <f>#REF!</f>
        <v>#REF!</v>
      </c>
    </row>
    <row r="461" spans="1:1" x14ac:dyDescent="0.25">
      <c r="A461" s="304" t="e">
        <f>#REF!</f>
        <v>#REF!</v>
      </c>
    </row>
    <row r="462" spans="1:1" x14ac:dyDescent="0.25">
      <c r="A462" s="304" t="e">
        <f>#REF!</f>
        <v>#REF!</v>
      </c>
    </row>
    <row r="463" spans="1:1" x14ac:dyDescent="0.25">
      <c r="A463" s="304" t="e">
        <f>#REF!</f>
        <v>#REF!</v>
      </c>
    </row>
    <row r="464" spans="1:1" x14ac:dyDescent="0.25">
      <c r="A464" s="304" t="e">
        <f>#REF!</f>
        <v>#REF!</v>
      </c>
    </row>
    <row r="465" spans="1:1" x14ac:dyDescent="0.25">
      <c r="A465" s="304" t="e">
        <f>#REF!</f>
        <v>#REF!</v>
      </c>
    </row>
    <row r="466" spans="1:1" x14ac:dyDescent="0.25">
      <c r="A466" s="304" t="e">
        <f>#REF!</f>
        <v>#REF!</v>
      </c>
    </row>
    <row r="467" spans="1:1" x14ac:dyDescent="0.25">
      <c r="A467" s="304" t="e">
        <f>#REF!</f>
        <v>#REF!</v>
      </c>
    </row>
    <row r="468" spans="1:1" x14ac:dyDescent="0.25">
      <c r="A468" s="304" t="e">
        <f>#REF!</f>
        <v>#REF!</v>
      </c>
    </row>
    <row r="469" spans="1:1" x14ac:dyDescent="0.25">
      <c r="A469" s="304" t="e">
        <f>#REF!</f>
        <v>#REF!</v>
      </c>
    </row>
    <row r="470" spans="1:1" x14ac:dyDescent="0.25">
      <c r="A470" s="304" t="e">
        <f>#REF!</f>
        <v>#REF!</v>
      </c>
    </row>
    <row r="471" spans="1:1" x14ac:dyDescent="0.25">
      <c r="A471" s="304" t="e">
        <f>#REF!</f>
        <v>#REF!</v>
      </c>
    </row>
    <row r="472" spans="1:1" x14ac:dyDescent="0.25">
      <c r="A472" s="304" t="e">
        <f>#REF!</f>
        <v>#REF!</v>
      </c>
    </row>
    <row r="473" spans="1:1" x14ac:dyDescent="0.25">
      <c r="A473" s="304" t="e">
        <f>#REF!</f>
        <v>#REF!</v>
      </c>
    </row>
    <row r="474" spans="1:1" x14ac:dyDescent="0.25">
      <c r="A474" s="304" t="e">
        <f>#REF!</f>
        <v>#REF!</v>
      </c>
    </row>
    <row r="475" spans="1:1" x14ac:dyDescent="0.25">
      <c r="A475" s="304" t="e">
        <f>#REF!</f>
        <v>#REF!</v>
      </c>
    </row>
    <row r="476" spans="1:1" x14ac:dyDescent="0.25">
      <c r="A476" s="304" t="e">
        <f>#REF!</f>
        <v>#REF!</v>
      </c>
    </row>
    <row r="477" spans="1:1" x14ac:dyDescent="0.25">
      <c r="A477" s="304" t="e">
        <f>#REF!</f>
        <v>#REF!</v>
      </c>
    </row>
    <row r="478" spans="1:1" x14ac:dyDescent="0.25">
      <c r="A478" s="304" t="e">
        <f>#REF!</f>
        <v>#REF!</v>
      </c>
    </row>
    <row r="479" spans="1:1" x14ac:dyDescent="0.25">
      <c r="A479" s="304" t="e">
        <f>#REF!</f>
        <v>#REF!</v>
      </c>
    </row>
    <row r="480" spans="1:1" x14ac:dyDescent="0.25">
      <c r="A480" s="304" t="e">
        <f>#REF!</f>
        <v>#REF!</v>
      </c>
    </row>
    <row r="481" spans="1:1" x14ac:dyDescent="0.25">
      <c r="A481" s="304" t="e">
        <f>#REF!</f>
        <v>#REF!</v>
      </c>
    </row>
    <row r="482" spans="1:1" x14ac:dyDescent="0.25">
      <c r="A482" s="304" t="e">
        <f>#REF!</f>
        <v>#REF!</v>
      </c>
    </row>
    <row r="483" spans="1:1" x14ac:dyDescent="0.25">
      <c r="A483" s="304" t="e">
        <f>#REF!</f>
        <v>#REF!</v>
      </c>
    </row>
    <row r="484" spans="1:1" x14ac:dyDescent="0.25">
      <c r="A484" s="304" t="e">
        <f>#REF!</f>
        <v>#REF!</v>
      </c>
    </row>
    <row r="485" spans="1:1" x14ac:dyDescent="0.25">
      <c r="A485" s="304" t="e">
        <f>#REF!</f>
        <v>#REF!</v>
      </c>
    </row>
    <row r="486" spans="1:1" x14ac:dyDescent="0.25">
      <c r="A486" s="304" t="e">
        <f>#REF!</f>
        <v>#REF!</v>
      </c>
    </row>
    <row r="487" spans="1:1" x14ac:dyDescent="0.25">
      <c r="A487" s="304" t="e">
        <f>#REF!</f>
        <v>#REF!</v>
      </c>
    </row>
    <row r="488" spans="1:1" x14ac:dyDescent="0.25">
      <c r="A488" s="304" t="e">
        <f>#REF!</f>
        <v>#REF!</v>
      </c>
    </row>
    <row r="489" spans="1:1" x14ac:dyDescent="0.25">
      <c r="A489" s="304" t="e">
        <f>#REF!</f>
        <v>#REF!</v>
      </c>
    </row>
    <row r="490" spans="1:1" x14ac:dyDescent="0.25">
      <c r="A490" s="304" t="e">
        <f>#REF!</f>
        <v>#REF!</v>
      </c>
    </row>
    <row r="491" spans="1:1" x14ac:dyDescent="0.25">
      <c r="A491" s="304" t="e">
        <f>#REF!</f>
        <v>#REF!</v>
      </c>
    </row>
    <row r="492" spans="1:1" x14ac:dyDescent="0.25">
      <c r="A492" s="304" t="e">
        <f>#REF!</f>
        <v>#REF!</v>
      </c>
    </row>
    <row r="493" spans="1:1" x14ac:dyDescent="0.25">
      <c r="A493" s="304" t="e">
        <f>#REF!</f>
        <v>#REF!</v>
      </c>
    </row>
    <row r="494" spans="1:1" x14ac:dyDescent="0.25">
      <c r="A494" s="304" t="e">
        <f>#REF!</f>
        <v>#REF!</v>
      </c>
    </row>
    <row r="495" spans="1:1" x14ac:dyDescent="0.25">
      <c r="A495" s="304" t="e">
        <f>#REF!</f>
        <v>#REF!</v>
      </c>
    </row>
    <row r="496" spans="1:1" x14ac:dyDescent="0.25">
      <c r="A496" s="304" t="e">
        <f>#REF!</f>
        <v>#REF!</v>
      </c>
    </row>
    <row r="497" spans="1:1" x14ac:dyDescent="0.25">
      <c r="A497" s="304" t="e">
        <f>#REF!</f>
        <v>#REF!</v>
      </c>
    </row>
    <row r="498" spans="1:1" x14ac:dyDescent="0.25">
      <c r="A498" s="304" t="e">
        <f>#REF!</f>
        <v>#REF!</v>
      </c>
    </row>
    <row r="499" spans="1:1" x14ac:dyDescent="0.25">
      <c r="A499" s="304" t="e">
        <f>#REF!</f>
        <v>#REF!</v>
      </c>
    </row>
    <row r="500" spans="1:1" x14ac:dyDescent="0.25">
      <c r="A500" s="304" t="e">
        <f>#REF!</f>
        <v>#REF!</v>
      </c>
    </row>
    <row r="501" spans="1:1" x14ac:dyDescent="0.25">
      <c r="A501" s="304" t="e">
        <f>#REF!</f>
        <v>#REF!</v>
      </c>
    </row>
    <row r="502" spans="1:1" x14ac:dyDescent="0.25">
      <c r="A502" s="304" t="e">
        <f>#REF!</f>
        <v>#REF!</v>
      </c>
    </row>
    <row r="503" spans="1:1" x14ac:dyDescent="0.25">
      <c r="A503" s="304" t="e">
        <f>#REF!</f>
        <v>#REF!</v>
      </c>
    </row>
    <row r="504" spans="1:1" x14ac:dyDescent="0.25">
      <c r="A504" s="304" t="e">
        <f>#REF!</f>
        <v>#REF!</v>
      </c>
    </row>
    <row r="505" spans="1:1" x14ac:dyDescent="0.25">
      <c r="A505" s="304" t="e">
        <f>#REF!</f>
        <v>#REF!</v>
      </c>
    </row>
    <row r="506" spans="1:1" x14ac:dyDescent="0.25">
      <c r="A506" s="304" t="e">
        <f>#REF!</f>
        <v>#REF!</v>
      </c>
    </row>
    <row r="507" spans="1:1" x14ac:dyDescent="0.25">
      <c r="A507" s="304" t="e">
        <f>#REF!</f>
        <v>#REF!</v>
      </c>
    </row>
    <row r="508" spans="1:1" x14ac:dyDescent="0.25">
      <c r="A508" s="304" t="e">
        <f>#REF!</f>
        <v>#REF!</v>
      </c>
    </row>
    <row r="509" spans="1:1" x14ac:dyDescent="0.25">
      <c r="A509" s="304" t="e">
        <f>#REF!</f>
        <v>#REF!</v>
      </c>
    </row>
    <row r="510" spans="1:1" x14ac:dyDescent="0.25">
      <c r="A510" s="304" t="e">
        <f>#REF!</f>
        <v>#REF!</v>
      </c>
    </row>
    <row r="511" spans="1:1" x14ac:dyDescent="0.25">
      <c r="A511" s="304" t="e">
        <f>#REF!</f>
        <v>#REF!</v>
      </c>
    </row>
    <row r="512" spans="1:1" x14ac:dyDescent="0.25">
      <c r="A512" s="304" t="e">
        <f>#REF!</f>
        <v>#REF!</v>
      </c>
    </row>
    <row r="513" spans="1:1" x14ac:dyDescent="0.25">
      <c r="A513" s="304" t="e">
        <f>#REF!</f>
        <v>#REF!</v>
      </c>
    </row>
    <row r="514" spans="1:1" x14ac:dyDescent="0.25">
      <c r="A514" s="304" t="e">
        <f>#REF!</f>
        <v>#REF!</v>
      </c>
    </row>
    <row r="515" spans="1:1" x14ac:dyDescent="0.25">
      <c r="A515" s="304" t="e">
        <f>#REF!</f>
        <v>#REF!</v>
      </c>
    </row>
    <row r="516" spans="1:1" x14ac:dyDescent="0.25">
      <c r="A516" s="304" t="e">
        <f>#REF!</f>
        <v>#REF!</v>
      </c>
    </row>
    <row r="517" spans="1:1" x14ac:dyDescent="0.25">
      <c r="A517" s="304" t="e">
        <f>#REF!</f>
        <v>#REF!</v>
      </c>
    </row>
    <row r="518" spans="1:1" x14ac:dyDescent="0.25">
      <c r="A518" s="304" t="e">
        <f>#REF!</f>
        <v>#REF!</v>
      </c>
    </row>
    <row r="519" spans="1:1" x14ac:dyDescent="0.25">
      <c r="A519" s="304" t="e">
        <f>#REF!</f>
        <v>#REF!</v>
      </c>
    </row>
    <row r="520" spans="1:1" x14ac:dyDescent="0.25">
      <c r="A520" s="304" t="e">
        <f>#REF!</f>
        <v>#REF!</v>
      </c>
    </row>
    <row r="521" spans="1:1" x14ac:dyDescent="0.25">
      <c r="A521" s="304" t="e">
        <f>#REF!</f>
        <v>#REF!</v>
      </c>
    </row>
    <row r="522" spans="1:1" x14ac:dyDescent="0.25">
      <c r="A522" s="304" t="e">
        <f>#REF!</f>
        <v>#REF!</v>
      </c>
    </row>
    <row r="523" spans="1:1" x14ac:dyDescent="0.25">
      <c r="A523" s="304" t="e">
        <f>#REF!</f>
        <v>#REF!</v>
      </c>
    </row>
    <row r="524" spans="1:1" x14ac:dyDescent="0.25">
      <c r="A524" s="304" t="e">
        <f>#REF!</f>
        <v>#REF!</v>
      </c>
    </row>
    <row r="525" spans="1:1" x14ac:dyDescent="0.25">
      <c r="A525" s="304" t="e">
        <f>#REF!</f>
        <v>#REF!</v>
      </c>
    </row>
    <row r="526" spans="1:1" x14ac:dyDescent="0.25">
      <c r="A526" s="304" t="e">
        <f>#REF!</f>
        <v>#REF!</v>
      </c>
    </row>
    <row r="527" spans="1:1" x14ac:dyDescent="0.25">
      <c r="A527" s="304" t="e">
        <f>#REF!</f>
        <v>#REF!</v>
      </c>
    </row>
    <row r="528" spans="1:1" x14ac:dyDescent="0.25">
      <c r="A528" s="304" t="e">
        <f>#REF!</f>
        <v>#REF!</v>
      </c>
    </row>
    <row r="529" spans="1:1" x14ac:dyDescent="0.25">
      <c r="A529" s="304" t="e">
        <f>#REF!</f>
        <v>#REF!</v>
      </c>
    </row>
    <row r="530" spans="1:1" x14ac:dyDescent="0.25">
      <c r="A530" s="304" t="e">
        <f>#REF!</f>
        <v>#REF!</v>
      </c>
    </row>
    <row r="531" spans="1:1" x14ac:dyDescent="0.25">
      <c r="A531" s="304" t="e">
        <f>#REF!</f>
        <v>#REF!</v>
      </c>
    </row>
    <row r="532" spans="1:1" x14ac:dyDescent="0.25">
      <c r="A532" s="304" t="e">
        <f>#REF!</f>
        <v>#REF!</v>
      </c>
    </row>
    <row r="533" spans="1:1" x14ac:dyDescent="0.25">
      <c r="A533" s="304" t="e">
        <f>#REF!</f>
        <v>#REF!</v>
      </c>
    </row>
    <row r="534" spans="1:1" x14ac:dyDescent="0.25">
      <c r="A534" s="304" t="e">
        <f>#REF!</f>
        <v>#REF!</v>
      </c>
    </row>
    <row r="535" spans="1:1" x14ac:dyDescent="0.25">
      <c r="A535" s="304" t="e">
        <f>#REF!</f>
        <v>#REF!</v>
      </c>
    </row>
    <row r="536" spans="1:1" x14ac:dyDescent="0.25">
      <c r="A536" s="304" t="e">
        <f>#REF!</f>
        <v>#REF!</v>
      </c>
    </row>
    <row r="537" spans="1:1" x14ac:dyDescent="0.25">
      <c r="A537" s="304" t="e">
        <f>#REF!</f>
        <v>#REF!</v>
      </c>
    </row>
    <row r="538" spans="1:1" x14ac:dyDescent="0.25">
      <c r="A538" s="304" t="e">
        <f>#REF!</f>
        <v>#REF!</v>
      </c>
    </row>
    <row r="539" spans="1:1" x14ac:dyDescent="0.25">
      <c r="A539" s="304" t="e">
        <f>#REF!</f>
        <v>#REF!</v>
      </c>
    </row>
    <row r="540" spans="1:1" x14ac:dyDescent="0.25">
      <c r="A540" s="304" t="e">
        <f>#REF!</f>
        <v>#REF!</v>
      </c>
    </row>
    <row r="541" spans="1:1" x14ac:dyDescent="0.25">
      <c r="A541" s="304" t="e">
        <f>#REF!</f>
        <v>#REF!</v>
      </c>
    </row>
    <row r="542" spans="1:1" x14ac:dyDescent="0.25">
      <c r="A542" s="304" t="e">
        <f>#REF!</f>
        <v>#REF!</v>
      </c>
    </row>
    <row r="543" spans="1:1" x14ac:dyDescent="0.25">
      <c r="A543" s="304" t="e">
        <f>#REF!</f>
        <v>#REF!</v>
      </c>
    </row>
    <row r="544" spans="1:1" x14ac:dyDescent="0.25">
      <c r="A544" s="304" t="e">
        <f>#REF!</f>
        <v>#REF!</v>
      </c>
    </row>
    <row r="545" spans="1:1" x14ac:dyDescent="0.25">
      <c r="A545" s="304" t="e">
        <f>#REF!</f>
        <v>#REF!</v>
      </c>
    </row>
    <row r="546" spans="1:1" x14ac:dyDescent="0.25">
      <c r="A546" s="304" t="e">
        <f>#REF!</f>
        <v>#REF!</v>
      </c>
    </row>
    <row r="547" spans="1:1" x14ac:dyDescent="0.25">
      <c r="A547" s="304" t="e">
        <f>#REF!</f>
        <v>#REF!</v>
      </c>
    </row>
    <row r="548" spans="1:1" x14ac:dyDescent="0.25">
      <c r="A548" s="304" t="e">
        <f>#REF!</f>
        <v>#REF!</v>
      </c>
    </row>
    <row r="549" spans="1:1" x14ac:dyDescent="0.25">
      <c r="A549" s="304" t="e">
        <f>#REF!</f>
        <v>#REF!</v>
      </c>
    </row>
    <row r="550" spans="1:1" x14ac:dyDescent="0.25">
      <c r="A550" s="304" t="e">
        <f>#REF!</f>
        <v>#REF!</v>
      </c>
    </row>
    <row r="551" spans="1:1" x14ac:dyDescent="0.25">
      <c r="A551" s="304" t="e">
        <f>#REF!</f>
        <v>#REF!</v>
      </c>
    </row>
    <row r="552" spans="1:1" x14ac:dyDescent="0.25">
      <c r="A552" s="304" t="e">
        <f>#REF!</f>
        <v>#REF!</v>
      </c>
    </row>
    <row r="553" spans="1:1" x14ac:dyDescent="0.25">
      <c r="A553" s="304" t="e">
        <f>#REF!</f>
        <v>#REF!</v>
      </c>
    </row>
    <row r="554" spans="1:1" x14ac:dyDescent="0.25">
      <c r="A554" s="304" t="e">
        <f>#REF!</f>
        <v>#REF!</v>
      </c>
    </row>
    <row r="555" spans="1:1" x14ac:dyDescent="0.25">
      <c r="A555" s="304" t="e">
        <f>#REF!</f>
        <v>#REF!</v>
      </c>
    </row>
    <row r="556" spans="1:1" x14ac:dyDescent="0.25">
      <c r="A556" s="304" t="e">
        <f>#REF!</f>
        <v>#REF!</v>
      </c>
    </row>
    <row r="557" spans="1:1" x14ac:dyDescent="0.25">
      <c r="A557" s="304" t="e">
        <f>#REF!</f>
        <v>#REF!</v>
      </c>
    </row>
    <row r="558" spans="1:1" x14ac:dyDescent="0.25">
      <c r="A558" s="304" t="e">
        <f>#REF!</f>
        <v>#REF!</v>
      </c>
    </row>
    <row r="559" spans="1:1" x14ac:dyDescent="0.25">
      <c r="A559" s="304" t="e">
        <f>#REF!</f>
        <v>#REF!</v>
      </c>
    </row>
    <row r="560" spans="1:1" x14ac:dyDescent="0.25">
      <c r="A560" s="304" t="e">
        <f>#REF!</f>
        <v>#REF!</v>
      </c>
    </row>
    <row r="561" spans="1:1" x14ac:dyDescent="0.25">
      <c r="A561" s="304" t="e">
        <f>#REF!</f>
        <v>#REF!</v>
      </c>
    </row>
    <row r="562" spans="1:1" x14ac:dyDescent="0.25">
      <c r="A562" s="304" t="e">
        <f>#REF!</f>
        <v>#REF!</v>
      </c>
    </row>
    <row r="563" spans="1:1" x14ac:dyDescent="0.25">
      <c r="A563" s="304" t="e">
        <f>#REF!</f>
        <v>#REF!</v>
      </c>
    </row>
    <row r="564" spans="1:1" x14ac:dyDescent="0.25">
      <c r="A564" s="304" t="e">
        <f>#REF!</f>
        <v>#REF!</v>
      </c>
    </row>
    <row r="565" spans="1:1" x14ac:dyDescent="0.25">
      <c r="A565" s="304" t="e">
        <f>#REF!</f>
        <v>#REF!</v>
      </c>
    </row>
    <row r="566" spans="1:1" x14ac:dyDescent="0.25">
      <c r="A566" s="304" t="e">
        <f>#REF!</f>
        <v>#REF!</v>
      </c>
    </row>
    <row r="567" spans="1:1" x14ac:dyDescent="0.25">
      <c r="A567" s="304" t="e">
        <f>#REF!</f>
        <v>#REF!</v>
      </c>
    </row>
    <row r="568" spans="1:1" x14ac:dyDescent="0.25">
      <c r="A568" s="304" t="e">
        <f>#REF!</f>
        <v>#REF!</v>
      </c>
    </row>
    <row r="569" spans="1:1" x14ac:dyDescent="0.25">
      <c r="A569" s="304" t="e">
        <f>#REF!</f>
        <v>#REF!</v>
      </c>
    </row>
    <row r="570" spans="1:1" x14ac:dyDescent="0.25">
      <c r="A570" s="304" t="e">
        <f>#REF!</f>
        <v>#REF!</v>
      </c>
    </row>
    <row r="571" spans="1:1" x14ac:dyDescent="0.25">
      <c r="A571" s="304" t="e">
        <f>#REF!</f>
        <v>#REF!</v>
      </c>
    </row>
    <row r="572" spans="1:1" x14ac:dyDescent="0.25">
      <c r="A572" s="304" t="e">
        <f>#REF!</f>
        <v>#REF!</v>
      </c>
    </row>
    <row r="573" spans="1:1" x14ac:dyDescent="0.25">
      <c r="A573" s="304" t="e">
        <f>#REF!</f>
        <v>#REF!</v>
      </c>
    </row>
    <row r="574" spans="1:1" x14ac:dyDescent="0.25">
      <c r="A574" s="304" t="e">
        <f>#REF!</f>
        <v>#REF!</v>
      </c>
    </row>
    <row r="575" spans="1:1" x14ac:dyDescent="0.25">
      <c r="A575" s="304" t="e">
        <f>#REF!</f>
        <v>#REF!</v>
      </c>
    </row>
    <row r="576" spans="1:1" x14ac:dyDescent="0.25">
      <c r="A576" s="304" t="e">
        <f>#REF!</f>
        <v>#REF!</v>
      </c>
    </row>
    <row r="577" spans="1:1" x14ac:dyDescent="0.25">
      <c r="A577" s="304" t="e">
        <f>#REF!</f>
        <v>#REF!</v>
      </c>
    </row>
    <row r="578" spans="1:1" x14ac:dyDescent="0.25">
      <c r="A578" s="304" t="e">
        <f>#REF!</f>
        <v>#REF!</v>
      </c>
    </row>
    <row r="579" spans="1:1" x14ac:dyDescent="0.25">
      <c r="A579" s="304" t="e">
        <f>#REF!</f>
        <v>#REF!</v>
      </c>
    </row>
    <row r="580" spans="1:1" x14ac:dyDescent="0.25">
      <c r="A580" s="304" t="e">
        <f>#REF!</f>
        <v>#REF!</v>
      </c>
    </row>
    <row r="581" spans="1:1" x14ac:dyDescent="0.25">
      <c r="A581" s="304" t="e">
        <f>#REF!</f>
        <v>#REF!</v>
      </c>
    </row>
    <row r="582" spans="1:1" x14ac:dyDescent="0.25">
      <c r="A582" s="304" t="e">
        <f>#REF!</f>
        <v>#REF!</v>
      </c>
    </row>
    <row r="583" spans="1:1" x14ac:dyDescent="0.25">
      <c r="A583" s="304" t="e">
        <f>#REF!</f>
        <v>#REF!</v>
      </c>
    </row>
    <row r="584" spans="1:1" x14ac:dyDescent="0.25">
      <c r="A584" s="304" t="e">
        <f>#REF!</f>
        <v>#REF!</v>
      </c>
    </row>
    <row r="585" spans="1:1" x14ac:dyDescent="0.25">
      <c r="A585" s="304" t="e">
        <f>#REF!</f>
        <v>#REF!</v>
      </c>
    </row>
    <row r="586" spans="1:1" x14ac:dyDescent="0.25">
      <c r="A586" s="304" t="e">
        <f>#REF!</f>
        <v>#REF!</v>
      </c>
    </row>
    <row r="587" spans="1:1" x14ac:dyDescent="0.25">
      <c r="A587" s="304" t="e">
        <f>#REF!</f>
        <v>#REF!</v>
      </c>
    </row>
    <row r="588" spans="1:1" x14ac:dyDescent="0.25">
      <c r="A588" s="304" t="e">
        <f>#REF!</f>
        <v>#REF!</v>
      </c>
    </row>
    <row r="589" spans="1:1" x14ac:dyDescent="0.25">
      <c r="A589" s="304" t="e">
        <f>#REF!</f>
        <v>#REF!</v>
      </c>
    </row>
    <row r="590" spans="1:1" x14ac:dyDescent="0.25">
      <c r="A590" s="304" t="e">
        <f>#REF!</f>
        <v>#REF!</v>
      </c>
    </row>
    <row r="591" spans="1:1" x14ac:dyDescent="0.25">
      <c r="A591" s="304" t="e">
        <f>#REF!</f>
        <v>#REF!</v>
      </c>
    </row>
    <row r="592" spans="1:1" x14ac:dyDescent="0.25">
      <c r="A592" s="304" t="e">
        <f>#REF!</f>
        <v>#REF!</v>
      </c>
    </row>
    <row r="593" spans="1:1" x14ac:dyDescent="0.25">
      <c r="A593" s="304" t="e">
        <f>#REF!</f>
        <v>#REF!</v>
      </c>
    </row>
    <row r="594" spans="1:1" x14ac:dyDescent="0.25">
      <c r="A594" s="304" t="e">
        <f>#REF!</f>
        <v>#REF!</v>
      </c>
    </row>
    <row r="595" spans="1:1" x14ac:dyDescent="0.25">
      <c r="A595" s="304" t="e">
        <f>#REF!</f>
        <v>#REF!</v>
      </c>
    </row>
    <row r="596" spans="1:1" x14ac:dyDescent="0.25">
      <c r="A596" s="304" t="e">
        <f>#REF!</f>
        <v>#REF!</v>
      </c>
    </row>
    <row r="597" spans="1:1" x14ac:dyDescent="0.25">
      <c r="A597" s="304" t="e">
        <f>#REF!</f>
        <v>#REF!</v>
      </c>
    </row>
    <row r="598" spans="1:1" x14ac:dyDescent="0.25">
      <c r="A598" s="304" t="e">
        <f>#REF!</f>
        <v>#REF!</v>
      </c>
    </row>
    <row r="599" spans="1:1" x14ac:dyDescent="0.25">
      <c r="A599" s="304" t="e">
        <f>#REF!</f>
        <v>#REF!</v>
      </c>
    </row>
    <row r="600" spans="1:1" x14ac:dyDescent="0.25">
      <c r="A600" s="304" t="e">
        <f>#REF!</f>
        <v>#REF!</v>
      </c>
    </row>
  </sheetData>
  <autoFilter ref="A1:P600" xr:uid="{00000000-0009-0000-0000-000020000000}"/>
  <mergeCells count="2">
    <mergeCell ref="P2:T2"/>
    <mergeCell ref="Q43:R46"/>
  </mergeCells>
  <conditionalFormatting sqref="FF46:FI46 EP47:FI65 EP46:EY46 EP39:FI45 ED7:FI7 AI7:BB65 BD7:EB65 EK8:FI38 EK39:EO65 ED8:EJ65">
    <cfRule type="expression" dxfId="3" priority="8">
      <formula>IF(AI7&gt;0,TRUE,FALSE)</formula>
    </cfRule>
  </conditionalFormatting>
  <conditionalFormatting sqref="FN63">
    <cfRule type="expression" dxfId="2" priority="7">
      <formula>IF(FN63&gt;0,TRUE,FALSE)</formula>
    </cfRule>
  </conditionalFormatting>
  <conditionalFormatting sqref="Q43">
    <cfRule type="containsText" dxfId="1" priority="2" operator="containsText" text="FALSE">
      <formula>NOT(ISERROR(SEARCH("FALSE",Q43)))</formula>
    </cfRule>
    <cfRule type="containsText" dxfId="0" priority="3" operator="containsText" text="TRUE">
      <formula>NOT(ISERROR(SEARCH("TRUE",Q43)))</formula>
    </cfRule>
  </conditionalFormatting>
  <pageMargins left="0.2" right="0.2" top="0.2" bottom="0.76250000000000007" header="0.2" footer="0.2"/>
  <pageSetup orientation="portrait" verticalDpi="599" r:id="rId1"/>
  <headerFooter alignWithMargins="0">
    <oddFooter xml:space="preserve">&amp;L&amp;"Arial"&amp;8 Data extracted from the Worldwide Refugee Admissions Processing System (WRAPS).
RPC/rpt_PartnerReports/Scheduled Monthly State Arrivals
Report Run Date: 11/15/2016 2:01:52 AM &amp;C&amp;R&amp;"Arial"&amp;8 Page 2 of 4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D281"/>
  <sheetViews>
    <sheetView workbookViewId="0">
      <selection activeCell="I41" sqref="I41"/>
    </sheetView>
  </sheetViews>
  <sheetFormatPr defaultRowHeight="15" x14ac:dyDescent="0.25"/>
  <cols>
    <col min="2" max="2" width="9.140625" style="289"/>
    <col min="3" max="3" width="49.85546875" style="289" bestFit="1" customWidth="1"/>
    <col min="4" max="4" width="9.140625" style="289"/>
  </cols>
  <sheetData>
    <row r="1" spans="2:3" ht="15.75" thickBot="1" x14ac:dyDescent="0.3"/>
    <row r="2" spans="2:3" ht="15.75" thickBot="1" x14ac:dyDescent="0.3">
      <c r="B2" s="293" t="s">
        <v>291</v>
      </c>
      <c r="C2" s="294" t="s">
        <v>292</v>
      </c>
    </row>
    <row r="3" spans="2:3" ht="15.75" thickBot="1" x14ac:dyDescent="0.3">
      <c r="B3" s="293" t="s">
        <v>293</v>
      </c>
      <c r="C3" s="294" t="s">
        <v>294</v>
      </c>
    </row>
    <row r="4" spans="2:3" ht="15.75" thickBot="1" x14ac:dyDescent="0.3">
      <c r="B4" s="293" t="s">
        <v>295</v>
      </c>
      <c r="C4" s="294" t="s">
        <v>296</v>
      </c>
    </row>
    <row r="5" spans="2:3" ht="15.75" thickBot="1" x14ac:dyDescent="0.3">
      <c r="B5" s="293" t="s">
        <v>141</v>
      </c>
      <c r="C5" s="294" t="s">
        <v>297</v>
      </c>
    </row>
    <row r="6" spans="2:3" ht="15.75" thickBot="1" x14ac:dyDescent="0.3">
      <c r="B6" s="293" t="s">
        <v>298</v>
      </c>
      <c r="C6" s="294" t="s">
        <v>299</v>
      </c>
    </row>
    <row r="7" spans="2:3" ht="15.75" thickBot="1" x14ac:dyDescent="0.3">
      <c r="B7" s="293" t="s">
        <v>300</v>
      </c>
      <c r="C7" s="294" t="s">
        <v>301</v>
      </c>
    </row>
    <row r="8" spans="2:3" ht="15.75" thickBot="1" x14ac:dyDescent="0.3">
      <c r="B8" s="293" t="s">
        <v>302</v>
      </c>
      <c r="C8" s="294" t="s">
        <v>303</v>
      </c>
    </row>
    <row r="9" spans="2:3" ht="15.75" thickBot="1" x14ac:dyDescent="0.3">
      <c r="B9" s="293" t="s">
        <v>143</v>
      </c>
      <c r="C9" s="294" t="s">
        <v>304</v>
      </c>
    </row>
    <row r="10" spans="2:3" ht="15.75" thickBot="1" x14ac:dyDescent="0.3">
      <c r="B10" s="293" t="s">
        <v>305</v>
      </c>
      <c r="C10" s="294" t="s">
        <v>306</v>
      </c>
    </row>
    <row r="11" spans="2:3" ht="15.75" thickBot="1" x14ac:dyDescent="0.3">
      <c r="B11" s="293" t="s">
        <v>307</v>
      </c>
      <c r="C11" s="294" t="s">
        <v>308</v>
      </c>
    </row>
    <row r="12" spans="2:3" ht="15.75" thickBot="1" x14ac:dyDescent="0.3">
      <c r="B12" s="293" t="s">
        <v>309</v>
      </c>
      <c r="C12" s="294" t="s">
        <v>310</v>
      </c>
    </row>
    <row r="13" spans="2:3" ht="15.75" thickBot="1" x14ac:dyDescent="0.3">
      <c r="B13" s="293" t="s">
        <v>311</v>
      </c>
      <c r="C13" s="294" t="s">
        <v>312</v>
      </c>
    </row>
    <row r="14" spans="2:3" ht="15.75" thickBot="1" x14ac:dyDescent="0.3">
      <c r="B14" s="293" t="s">
        <v>313</v>
      </c>
      <c r="C14" s="294" t="s">
        <v>314</v>
      </c>
    </row>
    <row r="15" spans="2:3" ht="15.75" thickBot="1" x14ac:dyDescent="0.3">
      <c r="B15" s="293" t="s">
        <v>315</v>
      </c>
      <c r="C15" s="294" t="s">
        <v>316</v>
      </c>
    </row>
    <row r="16" spans="2:3" ht="15.75" thickBot="1" x14ac:dyDescent="0.3">
      <c r="B16" s="293" t="s">
        <v>317</v>
      </c>
      <c r="C16" s="294" t="s">
        <v>318</v>
      </c>
    </row>
    <row r="17" spans="2:3" ht="15.75" thickBot="1" x14ac:dyDescent="0.3">
      <c r="B17" s="293" t="s">
        <v>319</v>
      </c>
      <c r="C17" s="294" t="s">
        <v>320</v>
      </c>
    </row>
    <row r="18" spans="2:3" ht="15.75" thickBot="1" x14ac:dyDescent="0.3">
      <c r="B18" s="293" t="s">
        <v>321</v>
      </c>
      <c r="C18" s="294" t="s">
        <v>322</v>
      </c>
    </row>
    <row r="19" spans="2:3" ht="15.75" thickBot="1" x14ac:dyDescent="0.3">
      <c r="B19" s="293" t="s">
        <v>323</v>
      </c>
      <c r="C19" s="294" t="s">
        <v>324</v>
      </c>
    </row>
    <row r="20" spans="2:3" ht="15.75" thickBot="1" x14ac:dyDescent="0.3">
      <c r="B20" s="293" t="s">
        <v>325</v>
      </c>
      <c r="C20" s="294" t="s">
        <v>326</v>
      </c>
    </row>
    <row r="21" spans="2:3" ht="15.75" thickBot="1" x14ac:dyDescent="0.3">
      <c r="B21" s="293" t="s">
        <v>327</v>
      </c>
      <c r="C21" s="294" t="s">
        <v>328</v>
      </c>
    </row>
    <row r="22" spans="2:3" ht="15.75" thickBot="1" x14ac:dyDescent="0.3">
      <c r="B22" s="293" t="s">
        <v>329</v>
      </c>
      <c r="C22" s="294" t="s">
        <v>330</v>
      </c>
    </row>
    <row r="23" spans="2:3" ht="15.75" thickBot="1" x14ac:dyDescent="0.3">
      <c r="B23" s="293" t="s">
        <v>331</v>
      </c>
      <c r="C23" s="294" t="s">
        <v>332</v>
      </c>
    </row>
    <row r="24" spans="2:3" ht="15.75" thickBot="1" x14ac:dyDescent="0.3">
      <c r="B24" s="293" t="s">
        <v>333</v>
      </c>
      <c r="C24" s="294" t="s">
        <v>334</v>
      </c>
    </row>
    <row r="25" spans="2:3" ht="15.75" thickBot="1" x14ac:dyDescent="0.3">
      <c r="B25" s="293" t="s">
        <v>335</v>
      </c>
      <c r="C25" s="294" t="s">
        <v>336</v>
      </c>
    </row>
    <row r="26" spans="2:3" ht="15.75" thickBot="1" x14ac:dyDescent="0.3">
      <c r="B26" s="293" t="s">
        <v>337</v>
      </c>
      <c r="C26" s="294" t="s">
        <v>338</v>
      </c>
    </row>
    <row r="27" spans="2:3" ht="15.75" thickBot="1" x14ac:dyDescent="0.3">
      <c r="B27" s="293" t="s">
        <v>339</v>
      </c>
      <c r="C27" s="294" t="s">
        <v>340</v>
      </c>
    </row>
    <row r="28" spans="2:3" ht="15.75" thickBot="1" x14ac:dyDescent="0.3">
      <c r="B28" s="293" t="s">
        <v>147</v>
      </c>
      <c r="C28" s="294" t="s">
        <v>341</v>
      </c>
    </row>
    <row r="29" spans="2:3" ht="15.75" thickBot="1" x14ac:dyDescent="0.3">
      <c r="B29" s="293" t="s">
        <v>342</v>
      </c>
      <c r="C29" s="294" t="s">
        <v>343</v>
      </c>
    </row>
    <row r="30" spans="2:3" ht="15.75" thickBot="1" x14ac:dyDescent="0.3">
      <c r="B30" s="293" t="s">
        <v>145</v>
      </c>
      <c r="C30" s="294" t="s">
        <v>344</v>
      </c>
    </row>
    <row r="31" spans="2:3" ht="15.75" thickBot="1" x14ac:dyDescent="0.3">
      <c r="B31" s="293" t="s">
        <v>345</v>
      </c>
      <c r="C31" s="294" t="s">
        <v>346</v>
      </c>
    </row>
    <row r="32" spans="2:3" ht="15.75" thickBot="1" x14ac:dyDescent="0.3">
      <c r="B32" s="293" t="s">
        <v>347</v>
      </c>
      <c r="C32" s="294" t="s">
        <v>348</v>
      </c>
    </row>
    <row r="33" spans="2:3" ht="15.75" thickBot="1" x14ac:dyDescent="0.3">
      <c r="B33" s="293" t="s">
        <v>150</v>
      </c>
      <c r="C33" s="294" t="s">
        <v>349</v>
      </c>
    </row>
    <row r="34" spans="2:3" ht="15.75" thickBot="1" x14ac:dyDescent="0.3">
      <c r="B34" s="293" t="s">
        <v>287</v>
      </c>
      <c r="C34" s="294" t="s">
        <v>350</v>
      </c>
    </row>
    <row r="35" spans="2:3" ht="15.75" thickBot="1" x14ac:dyDescent="0.3">
      <c r="B35" s="293" t="s">
        <v>351</v>
      </c>
      <c r="C35" s="294" t="s">
        <v>352</v>
      </c>
    </row>
    <row r="36" spans="2:3" ht="15.75" thickBot="1" x14ac:dyDescent="0.3">
      <c r="B36" s="293" t="s">
        <v>353</v>
      </c>
      <c r="C36" s="294" t="s">
        <v>354</v>
      </c>
    </row>
    <row r="37" spans="2:3" ht="15.75" thickBot="1" x14ac:dyDescent="0.3">
      <c r="B37" s="293" t="s">
        <v>152</v>
      </c>
      <c r="C37" s="294" t="s">
        <v>355</v>
      </c>
    </row>
    <row r="38" spans="2:3" ht="15.75" thickBot="1" x14ac:dyDescent="0.3">
      <c r="B38" s="293" t="s">
        <v>356</v>
      </c>
      <c r="C38" s="294" t="s">
        <v>357</v>
      </c>
    </row>
    <row r="39" spans="2:3" ht="15.75" thickBot="1" x14ac:dyDescent="0.3">
      <c r="B39" s="293" t="s">
        <v>358</v>
      </c>
      <c r="C39" s="294" t="s">
        <v>359</v>
      </c>
    </row>
    <row r="40" spans="2:3" ht="15.75" thickBot="1" x14ac:dyDescent="0.3">
      <c r="B40" s="293" t="s">
        <v>360</v>
      </c>
      <c r="C40" s="294" t="s">
        <v>361</v>
      </c>
    </row>
    <row r="41" spans="2:3" ht="15.75" thickBot="1" x14ac:dyDescent="0.3">
      <c r="B41" s="293" t="s">
        <v>228</v>
      </c>
      <c r="C41" s="294" t="s">
        <v>362</v>
      </c>
    </row>
    <row r="42" spans="2:3" ht="15.75" thickBot="1" x14ac:dyDescent="0.3">
      <c r="B42" s="293" t="s">
        <v>163</v>
      </c>
      <c r="C42" s="294" t="s">
        <v>363</v>
      </c>
    </row>
    <row r="43" spans="2:3" ht="15.75" thickBot="1" x14ac:dyDescent="0.3">
      <c r="B43" s="293" t="s">
        <v>360</v>
      </c>
      <c r="C43" s="294" t="s">
        <v>364</v>
      </c>
    </row>
    <row r="44" spans="2:3" ht="15.75" thickBot="1" x14ac:dyDescent="0.3">
      <c r="B44" s="293" t="s">
        <v>156</v>
      </c>
      <c r="C44" s="294" t="s">
        <v>365</v>
      </c>
    </row>
    <row r="45" spans="2:3" ht="15.75" thickBot="1" x14ac:dyDescent="0.3">
      <c r="B45" s="293" t="s">
        <v>366</v>
      </c>
      <c r="C45" s="294" t="s">
        <v>367</v>
      </c>
    </row>
    <row r="46" spans="2:3" ht="15.75" thickBot="1" x14ac:dyDescent="0.3">
      <c r="B46" s="293" t="s">
        <v>368</v>
      </c>
      <c r="C46" s="294" t="s">
        <v>369</v>
      </c>
    </row>
    <row r="47" spans="2:3" ht="15.75" thickBot="1" x14ac:dyDescent="0.3">
      <c r="B47" s="293" t="s">
        <v>370</v>
      </c>
      <c r="C47" s="294" t="s">
        <v>371</v>
      </c>
    </row>
    <row r="48" spans="2:3" ht="15.75" thickBot="1" x14ac:dyDescent="0.3">
      <c r="B48" s="293" t="s">
        <v>283</v>
      </c>
      <c r="C48" s="294" t="s">
        <v>372</v>
      </c>
    </row>
    <row r="49" spans="2:3" ht="15.75" thickBot="1" x14ac:dyDescent="0.3">
      <c r="B49" s="293" t="s">
        <v>373</v>
      </c>
      <c r="C49" s="294" t="s">
        <v>374</v>
      </c>
    </row>
    <row r="50" spans="2:3" ht="15.75" thickBot="1" x14ac:dyDescent="0.3">
      <c r="B50" s="293" t="s">
        <v>161</v>
      </c>
      <c r="C50" s="294" t="s">
        <v>375</v>
      </c>
    </row>
    <row r="51" spans="2:3" ht="15.75" thickBot="1" x14ac:dyDescent="0.3">
      <c r="B51" s="293" t="s">
        <v>376</v>
      </c>
      <c r="C51" s="294" t="s">
        <v>377</v>
      </c>
    </row>
    <row r="52" spans="2:3" ht="15.75" thickBot="1" x14ac:dyDescent="0.3">
      <c r="B52" s="293" t="s">
        <v>378</v>
      </c>
      <c r="C52" s="294" t="s">
        <v>379</v>
      </c>
    </row>
    <row r="53" spans="2:3" ht="15.75" thickBot="1" x14ac:dyDescent="0.3">
      <c r="B53" s="293" t="s">
        <v>380</v>
      </c>
      <c r="C53" s="294" t="s">
        <v>381</v>
      </c>
    </row>
    <row r="54" spans="2:3" ht="15.75" thickBot="1" x14ac:dyDescent="0.3">
      <c r="B54" s="293" t="s">
        <v>154</v>
      </c>
      <c r="C54" s="294" t="s">
        <v>382</v>
      </c>
    </row>
    <row r="55" spans="2:3" ht="15.75" thickBot="1" x14ac:dyDescent="0.3">
      <c r="B55" s="293" t="s">
        <v>165</v>
      </c>
      <c r="C55" s="294" t="s">
        <v>383</v>
      </c>
    </row>
    <row r="56" spans="2:3" ht="15.75" thickBot="1" x14ac:dyDescent="0.3">
      <c r="B56" s="293" t="s">
        <v>384</v>
      </c>
      <c r="C56" s="294" t="s">
        <v>385</v>
      </c>
    </row>
    <row r="57" spans="2:3" ht="15.75" thickBot="1" x14ac:dyDescent="0.3">
      <c r="B57" s="293" t="s">
        <v>386</v>
      </c>
      <c r="C57" s="294" t="s">
        <v>387</v>
      </c>
    </row>
    <row r="58" spans="2:3" ht="15.75" thickBot="1" x14ac:dyDescent="0.3">
      <c r="B58" s="293" t="s">
        <v>388</v>
      </c>
      <c r="C58" s="294" t="s">
        <v>389</v>
      </c>
    </row>
    <row r="59" spans="2:3" ht="15.75" thickBot="1" x14ac:dyDescent="0.3">
      <c r="B59" s="293" t="s">
        <v>390</v>
      </c>
      <c r="C59" s="294" t="s">
        <v>391</v>
      </c>
    </row>
    <row r="60" spans="2:3" ht="15.75" thickBot="1" x14ac:dyDescent="0.3">
      <c r="B60" s="293" t="s">
        <v>139</v>
      </c>
      <c r="C60" s="294" t="s">
        <v>392</v>
      </c>
    </row>
    <row r="61" spans="2:3" ht="15.75" thickBot="1" x14ac:dyDescent="0.3">
      <c r="B61" s="293" t="s">
        <v>393</v>
      </c>
      <c r="C61" s="294" t="s">
        <v>394</v>
      </c>
    </row>
    <row r="62" spans="2:3" ht="15.75" thickBot="1" x14ac:dyDescent="0.3">
      <c r="B62" s="293" t="s">
        <v>395</v>
      </c>
      <c r="C62" s="294" t="s">
        <v>396</v>
      </c>
    </row>
    <row r="63" spans="2:3" ht="15.75" thickBot="1" x14ac:dyDescent="0.3">
      <c r="B63" s="293" t="s">
        <v>397</v>
      </c>
      <c r="C63" s="294" t="s">
        <v>398</v>
      </c>
    </row>
    <row r="64" spans="2:3" ht="15.75" thickBot="1" x14ac:dyDescent="0.3">
      <c r="B64" s="293" t="s">
        <v>170</v>
      </c>
      <c r="C64" s="294" t="s">
        <v>399</v>
      </c>
    </row>
    <row r="65" spans="2:3" ht="15.75" thickBot="1" x14ac:dyDescent="0.3">
      <c r="B65" s="293" t="s">
        <v>400</v>
      </c>
      <c r="C65" s="294" t="s">
        <v>401</v>
      </c>
    </row>
    <row r="66" spans="2:3" ht="15.75" thickBot="1" x14ac:dyDescent="0.3">
      <c r="B66" s="293" t="s">
        <v>172</v>
      </c>
      <c r="C66" s="294" t="s">
        <v>402</v>
      </c>
    </row>
    <row r="67" spans="2:3" ht="15.75" thickBot="1" x14ac:dyDescent="0.3">
      <c r="B67" s="293" t="s">
        <v>403</v>
      </c>
      <c r="C67" s="294" t="s">
        <v>404</v>
      </c>
    </row>
    <row r="68" spans="2:3" ht="15.75" thickBot="1" x14ac:dyDescent="0.3">
      <c r="B68" s="293" t="s">
        <v>405</v>
      </c>
      <c r="C68" s="294" t="s">
        <v>406</v>
      </c>
    </row>
    <row r="69" spans="2:3" ht="15.75" thickBot="1" x14ac:dyDescent="0.3">
      <c r="B69" s="293" t="s">
        <v>407</v>
      </c>
      <c r="C69" s="294" t="s">
        <v>408</v>
      </c>
    </row>
    <row r="70" spans="2:3" ht="15.75" thickBot="1" x14ac:dyDescent="0.3">
      <c r="B70" s="293" t="s">
        <v>175</v>
      </c>
      <c r="C70" s="294" t="s">
        <v>409</v>
      </c>
    </row>
    <row r="71" spans="2:3" ht="15.75" thickBot="1" x14ac:dyDescent="0.3">
      <c r="B71" s="293" t="s">
        <v>276</v>
      </c>
      <c r="C71" s="294" t="s">
        <v>410</v>
      </c>
    </row>
    <row r="72" spans="2:3" ht="15.75" thickBot="1" x14ac:dyDescent="0.3">
      <c r="B72" s="293" t="s">
        <v>166</v>
      </c>
      <c r="C72" s="294" t="s">
        <v>411</v>
      </c>
    </row>
    <row r="73" spans="2:3" ht="15.75" thickBot="1" x14ac:dyDescent="0.3">
      <c r="B73" s="293" t="s">
        <v>412</v>
      </c>
      <c r="C73" s="294" t="s">
        <v>413</v>
      </c>
    </row>
    <row r="74" spans="2:3" ht="15.75" thickBot="1" x14ac:dyDescent="0.3">
      <c r="B74" s="293" t="s">
        <v>414</v>
      </c>
      <c r="C74" s="294" t="s">
        <v>415</v>
      </c>
    </row>
    <row r="75" spans="2:3" ht="15.75" thickBot="1" x14ac:dyDescent="0.3">
      <c r="B75" s="293" t="s">
        <v>416</v>
      </c>
      <c r="C75" s="294" t="s">
        <v>417</v>
      </c>
    </row>
    <row r="76" spans="2:3" ht="15.75" thickBot="1" x14ac:dyDescent="0.3">
      <c r="B76" s="293" t="s">
        <v>418</v>
      </c>
      <c r="C76" s="294" t="s">
        <v>419</v>
      </c>
    </row>
    <row r="77" spans="2:3" ht="15.75" thickBot="1" x14ac:dyDescent="0.3">
      <c r="B77" s="293" t="s">
        <v>420</v>
      </c>
      <c r="C77" s="294" t="s">
        <v>421</v>
      </c>
    </row>
    <row r="78" spans="2:3" ht="15.75" thickBot="1" x14ac:dyDescent="0.3">
      <c r="B78" s="293" t="s">
        <v>422</v>
      </c>
      <c r="C78" s="294" t="s">
        <v>423</v>
      </c>
    </row>
    <row r="79" spans="2:3" ht="15.75" thickBot="1" x14ac:dyDescent="0.3">
      <c r="B79" s="293" t="s">
        <v>424</v>
      </c>
      <c r="C79" s="294" t="s">
        <v>425</v>
      </c>
    </row>
    <row r="80" spans="2:3" ht="15.75" thickBot="1" x14ac:dyDescent="0.3">
      <c r="B80" s="293" t="s">
        <v>426</v>
      </c>
      <c r="C80" s="294" t="s">
        <v>427</v>
      </c>
    </row>
    <row r="81" spans="2:3" ht="15.75" thickBot="1" x14ac:dyDescent="0.3">
      <c r="B81" s="293" t="s">
        <v>178</v>
      </c>
      <c r="C81" s="294" t="s">
        <v>428</v>
      </c>
    </row>
    <row r="82" spans="2:3" ht="15.75" thickBot="1" x14ac:dyDescent="0.3">
      <c r="B82" s="293" t="s">
        <v>429</v>
      </c>
      <c r="C82" s="294" t="s">
        <v>430</v>
      </c>
    </row>
    <row r="83" spans="2:3" ht="15.75" thickBot="1" x14ac:dyDescent="0.3">
      <c r="B83" s="293" t="s">
        <v>431</v>
      </c>
      <c r="C83" s="294" t="s">
        <v>432</v>
      </c>
    </row>
    <row r="84" spans="2:3" ht="15.75" thickBot="1" x14ac:dyDescent="0.3">
      <c r="B84" s="293" t="s">
        <v>433</v>
      </c>
      <c r="C84" s="294" t="s">
        <v>434</v>
      </c>
    </row>
    <row r="85" spans="2:3" ht="15.75" thickBot="1" x14ac:dyDescent="0.3">
      <c r="B85" s="293" t="s">
        <v>435</v>
      </c>
      <c r="C85" s="294" t="s">
        <v>436</v>
      </c>
    </row>
    <row r="86" spans="2:3" ht="15.75" thickBot="1" x14ac:dyDescent="0.3">
      <c r="B86" s="293" t="s">
        <v>437</v>
      </c>
      <c r="C86" s="294" t="s">
        <v>438</v>
      </c>
    </row>
    <row r="87" spans="2:3" ht="15.75" thickBot="1" x14ac:dyDescent="0.3">
      <c r="B87" s="293" t="s">
        <v>439</v>
      </c>
      <c r="C87" s="294" t="s">
        <v>440</v>
      </c>
    </row>
    <row r="88" spans="2:3" ht="15.75" thickBot="1" x14ac:dyDescent="0.3">
      <c r="B88" s="293" t="s">
        <v>441</v>
      </c>
      <c r="C88" s="294" t="s">
        <v>442</v>
      </c>
    </row>
    <row r="89" spans="2:3" ht="15.75" thickBot="1" x14ac:dyDescent="0.3">
      <c r="B89" s="293" t="s">
        <v>443</v>
      </c>
      <c r="C89" s="294" t="s">
        <v>444</v>
      </c>
    </row>
    <row r="90" spans="2:3" ht="15.75" thickBot="1" x14ac:dyDescent="0.3">
      <c r="B90" s="293" t="s">
        <v>445</v>
      </c>
      <c r="C90" s="294" t="s">
        <v>446</v>
      </c>
    </row>
    <row r="91" spans="2:3" ht="15.75" thickBot="1" x14ac:dyDescent="0.3">
      <c r="B91" s="293" t="s">
        <v>447</v>
      </c>
      <c r="C91" s="294" t="s">
        <v>448</v>
      </c>
    </row>
    <row r="92" spans="2:3" ht="15.75" thickBot="1" x14ac:dyDescent="0.3">
      <c r="B92" s="293" t="s">
        <v>449</v>
      </c>
      <c r="C92" s="294" t="s">
        <v>450</v>
      </c>
    </row>
    <row r="93" spans="2:3" ht="15.75" thickBot="1" x14ac:dyDescent="0.3">
      <c r="B93" s="293" t="s">
        <v>451</v>
      </c>
      <c r="C93" s="294" t="s">
        <v>452</v>
      </c>
    </row>
    <row r="94" spans="2:3" ht="15.75" thickBot="1" x14ac:dyDescent="0.3">
      <c r="B94" s="293" t="s">
        <v>453</v>
      </c>
      <c r="C94" s="294" t="s">
        <v>454</v>
      </c>
    </row>
    <row r="95" spans="2:3" ht="15.75" thickBot="1" x14ac:dyDescent="0.3">
      <c r="B95" s="293" t="s">
        <v>455</v>
      </c>
      <c r="C95" s="294" t="s">
        <v>456</v>
      </c>
    </row>
    <row r="96" spans="2:3" ht="15.75" thickBot="1" x14ac:dyDescent="0.3">
      <c r="B96" s="293" t="s">
        <v>457</v>
      </c>
      <c r="C96" s="294" t="s">
        <v>458</v>
      </c>
    </row>
    <row r="97" spans="2:3" ht="15.75" thickBot="1" x14ac:dyDescent="0.3">
      <c r="B97" s="293" t="s">
        <v>280</v>
      </c>
      <c r="C97" s="294" t="s">
        <v>459</v>
      </c>
    </row>
    <row r="98" spans="2:3" ht="15.75" thickBot="1" x14ac:dyDescent="0.3">
      <c r="B98" s="293" t="s">
        <v>460</v>
      </c>
      <c r="C98" s="294" t="s">
        <v>461</v>
      </c>
    </row>
    <row r="99" spans="2:3" ht="15.75" thickBot="1" x14ac:dyDescent="0.3">
      <c r="B99" s="293" t="s">
        <v>180</v>
      </c>
      <c r="C99" s="294" t="s">
        <v>462</v>
      </c>
    </row>
    <row r="100" spans="2:3" ht="15.75" thickBot="1" x14ac:dyDescent="0.3">
      <c r="B100" s="293" t="s">
        <v>463</v>
      </c>
      <c r="C100" s="294" t="s">
        <v>464</v>
      </c>
    </row>
    <row r="101" spans="2:3" ht="15.75" thickBot="1" x14ac:dyDescent="0.3">
      <c r="B101" s="293" t="s">
        <v>465</v>
      </c>
      <c r="C101" s="294" t="s">
        <v>466</v>
      </c>
    </row>
    <row r="102" spans="2:3" ht="15.75" thickBot="1" x14ac:dyDescent="0.3">
      <c r="B102" s="293" t="s">
        <v>467</v>
      </c>
      <c r="C102" s="294" t="s">
        <v>468</v>
      </c>
    </row>
    <row r="103" spans="2:3" ht="15.75" thickBot="1" x14ac:dyDescent="0.3">
      <c r="B103" s="293" t="s">
        <v>469</v>
      </c>
      <c r="C103" s="294" t="s">
        <v>470</v>
      </c>
    </row>
    <row r="104" spans="2:3" ht="15.75" thickBot="1" x14ac:dyDescent="0.3">
      <c r="B104" s="293" t="s">
        <v>471</v>
      </c>
      <c r="C104" s="294" t="s">
        <v>472</v>
      </c>
    </row>
    <row r="105" spans="2:3" ht="15.75" thickBot="1" x14ac:dyDescent="0.3">
      <c r="B105" s="293" t="s">
        <v>223</v>
      </c>
      <c r="C105" s="294" t="s">
        <v>473</v>
      </c>
    </row>
    <row r="106" spans="2:3" ht="15.75" thickBot="1" x14ac:dyDescent="0.3">
      <c r="B106" s="293" t="s">
        <v>474</v>
      </c>
      <c r="C106" s="294" t="s">
        <v>475</v>
      </c>
    </row>
    <row r="107" spans="2:3" ht="15.75" thickBot="1" x14ac:dyDescent="0.3">
      <c r="B107" s="293" t="s">
        <v>184</v>
      </c>
      <c r="C107" s="294" t="s">
        <v>476</v>
      </c>
    </row>
    <row r="108" spans="2:3" ht="15.75" thickBot="1" x14ac:dyDescent="0.3">
      <c r="B108" s="293" t="s">
        <v>182</v>
      </c>
      <c r="C108" s="294" t="s">
        <v>477</v>
      </c>
    </row>
    <row r="109" spans="2:3" ht="15.75" thickBot="1" x14ac:dyDescent="0.3">
      <c r="B109" s="293" t="s">
        <v>478</v>
      </c>
      <c r="C109" s="294" t="s">
        <v>479</v>
      </c>
    </row>
    <row r="110" spans="2:3" x14ac:dyDescent="0.25">
      <c r="B110" s="403" t="s">
        <v>480</v>
      </c>
      <c r="C110" s="406" t="s">
        <v>481</v>
      </c>
    </row>
    <row r="111" spans="2:3" x14ac:dyDescent="0.25">
      <c r="B111" s="404"/>
      <c r="C111" s="407"/>
    </row>
    <row r="112" spans="2:3" ht="15.75" thickBot="1" x14ac:dyDescent="0.3">
      <c r="B112" s="405"/>
      <c r="C112" s="408"/>
    </row>
    <row r="113" spans="2:3" ht="15.75" thickBot="1" x14ac:dyDescent="0.3">
      <c r="B113" s="293" t="s">
        <v>186</v>
      </c>
      <c r="C113" s="294" t="s">
        <v>482</v>
      </c>
    </row>
    <row r="114" spans="2:3" ht="15.75" thickBot="1" x14ac:dyDescent="0.3">
      <c r="B114" s="293" t="s">
        <v>483</v>
      </c>
      <c r="C114" s="294" t="s">
        <v>484</v>
      </c>
    </row>
    <row r="115" spans="2:3" ht="15.75" thickBot="1" x14ac:dyDescent="0.3">
      <c r="B115" s="293" t="s">
        <v>485</v>
      </c>
      <c r="C115" s="294" t="s">
        <v>486</v>
      </c>
    </row>
    <row r="116" spans="2:3" ht="15.75" thickBot="1" x14ac:dyDescent="0.3">
      <c r="B116" s="293" t="s">
        <v>191</v>
      </c>
      <c r="C116" s="294" t="s">
        <v>487</v>
      </c>
    </row>
    <row r="117" spans="2:3" ht="15.75" thickBot="1" x14ac:dyDescent="0.3">
      <c r="B117" s="293" t="s">
        <v>188</v>
      </c>
      <c r="C117" s="294" t="s">
        <v>488</v>
      </c>
    </row>
    <row r="118" spans="2:3" ht="15.75" thickBot="1" x14ac:dyDescent="0.3">
      <c r="B118" s="293" t="s">
        <v>489</v>
      </c>
      <c r="C118" s="294" t="s">
        <v>490</v>
      </c>
    </row>
    <row r="119" spans="2:3" ht="15.75" thickBot="1" x14ac:dyDescent="0.3">
      <c r="B119" s="293" t="s">
        <v>491</v>
      </c>
      <c r="C119" s="294" t="s">
        <v>492</v>
      </c>
    </row>
    <row r="120" spans="2:3" x14ac:dyDescent="0.25">
      <c r="B120" s="403" t="s">
        <v>493</v>
      </c>
      <c r="C120" s="406" t="s">
        <v>494</v>
      </c>
    </row>
    <row r="121" spans="2:3" ht="15.75" thickBot="1" x14ac:dyDescent="0.3">
      <c r="B121" s="405"/>
      <c r="C121" s="408"/>
    </row>
    <row r="122" spans="2:3" ht="15.75" thickBot="1" x14ac:dyDescent="0.3">
      <c r="B122" s="293" t="s">
        <v>193</v>
      </c>
      <c r="C122" s="294" t="s">
        <v>495</v>
      </c>
    </row>
    <row r="123" spans="2:3" ht="15.75" thickBot="1" x14ac:dyDescent="0.3">
      <c r="B123" s="293" t="s">
        <v>496</v>
      </c>
      <c r="C123" s="294" t="s">
        <v>497</v>
      </c>
    </row>
    <row r="124" spans="2:3" ht="15.75" thickBot="1" x14ac:dyDescent="0.3">
      <c r="B124" s="293" t="s">
        <v>198</v>
      </c>
      <c r="C124" s="294" t="s">
        <v>498</v>
      </c>
    </row>
    <row r="125" spans="2:3" ht="15.75" thickBot="1" x14ac:dyDescent="0.3">
      <c r="B125" s="293" t="s">
        <v>499</v>
      </c>
      <c r="C125" s="294" t="s">
        <v>500</v>
      </c>
    </row>
    <row r="126" spans="2:3" ht="15.75" thickBot="1" x14ac:dyDescent="0.3">
      <c r="B126" s="293" t="s">
        <v>501</v>
      </c>
      <c r="C126" s="294" t="s">
        <v>502</v>
      </c>
    </row>
    <row r="127" spans="2:3" ht="15.75" thickBot="1" x14ac:dyDescent="0.3">
      <c r="B127" s="293" t="s">
        <v>503</v>
      </c>
      <c r="C127" s="294" t="s">
        <v>504</v>
      </c>
    </row>
    <row r="128" spans="2:3" ht="15.75" thickBot="1" x14ac:dyDescent="0.3">
      <c r="B128" s="293" t="s">
        <v>505</v>
      </c>
      <c r="C128" s="294" t="s">
        <v>506</v>
      </c>
    </row>
    <row r="129" spans="2:3" ht="15.75" thickBot="1" x14ac:dyDescent="0.3">
      <c r="B129" s="293" t="s">
        <v>507</v>
      </c>
      <c r="C129" s="294" t="s">
        <v>508</v>
      </c>
    </row>
    <row r="130" spans="2:3" ht="15.75" thickBot="1" x14ac:dyDescent="0.3">
      <c r="B130" s="293" t="s">
        <v>509</v>
      </c>
      <c r="C130" s="294" t="s">
        <v>510</v>
      </c>
    </row>
    <row r="131" spans="2:3" ht="15.75" thickBot="1" x14ac:dyDescent="0.3">
      <c r="B131" s="293" t="s">
        <v>195</v>
      </c>
      <c r="C131" s="294" t="s">
        <v>511</v>
      </c>
    </row>
    <row r="132" spans="2:3" ht="15.75" thickBot="1" x14ac:dyDescent="0.3">
      <c r="B132" s="293" t="s">
        <v>512</v>
      </c>
      <c r="C132" s="294" t="s">
        <v>513</v>
      </c>
    </row>
    <row r="133" spans="2:3" ht="15.75" thickBot="1" x14ac:dyDescent="0.3">
      <c r="B133" s="293" t="s">
        <v>199</v>
      </c>
      <c r="C133" s="294" t="s">
        <v>514</v>
      </c>
    </row>
    <row r="134" spans="2:3" ht="15.75" thickBot="1" x14ac:dyDescent="0.3">
      <c r="B134" s="293" t="s">
        <v>515</v>
      </c>
      <c r="C134" s="294" t="s">
        <v>516</v>
      </c>
    </row>
    <row r="135" spans="2:3" ht="15.75" thickBot="1" x14ac:dyDescent="0.3">
      <c r="B135" s="293" t="s">
        <v>517</v>
      </c>
      <c r="C135" s="294" t="s">
        <v>518</v>
      </c>
    </row>
    <row r="136" spans="2:3" ht="15.75" thickBot="1" x14ac:dyDescent="0.3">
      <c r="B136" s="293" t="s">
        <v>201</v>
      </c>
      <c r="C136" s="294" t="s">
        <v>519</v>
      </c>
    </row>
    <row r="137" spans="2:3" ht="15.75" thickBot="1" x14ac:dyDescent="0.3">
      <c r="B137" s="293" t="s">
        <v>290</v>
      </c>
      <c r="C137" s="294" t="s">
        <v>520</v>
      </c>
    </row>
    <row r="138" spans="2:3" ht="15.75" thickBot="1" x14ac:dyDescent="0.3">
      <c r="B138" s="293" t="s">
        <v>521</v>
      </c>
      <c r="C138" s="294" t="s">
        <v>522</v>
      </c>
    </row>
    <row r="139" spans="2:3" ht="15.75" thickBot="1" x14ac:dyDescent="0.3">
      <c r="B139" s="293" t="s">
        <v>523</v>
      </c>
      <c r="C139" s="294" t="s">
        <v>524</v>
      </c>
    </row>
    <row r="140" spans="2:3" ht="15.75" thickBot="1" x14ac:dyDescent="0.3">
      <c r="B140" s="293" t="s">
        <v>525</v>
      </c>
      <c r="C140" s="294" t="s">
        <v>526</v>
      </c>
    </row>
    <row r="141" spans="2:3" ht="15.75" thickBot="1" x14ac:dyDescent="0.3">
      <c r="B141" s="293" t="s">
        <v>275</v>
      </c>
      <c r="C141" s="294" t="s">
        <v>527</v>
      </c>
    </row>
    <row r="142" spans="2:3" ht="15.75" thickBot="1" x14ac:dyDescent="0.3">
      <c r="B142" s="293" t="s">
        <v>528</v>
      </c>
      <c r="C142" s="294" t="s">
        <v>529</v>
      </c>
    </row>
    <row r="143" spans="2:3" ht="15.75" thickBot="1" x14ac:dyDescent="0.3">
      <c r="B143" s="293" t="s">
        <v>530</v>
      </c>
      <c r="C143" s="294" t="s">
        <v>531</v>
      </c>
    </row>
    <row r="144" spans="2:3" ht="15.75" thickBot="1" x14ac:dyDescent="0.3">
      <c r="B144" s="293" t="s">
        <v>532</v>
      </c>
      <c r="C144" s="294" t="s">
        <v>533</v>
      </c>
    </row>
    <row r="145" spans="2:3" ht="15.75" thickBot="1" x14ac:dyDescent="0.3">
      <c r="B145" s="293" t="s">
        <v>203</v>
      </c>
      <c r="C145" s="294" t="s">
        <v>534</v>
      </c>
    </row>
    <row r="146" spans="2:3" ht="15.75" thickBot="1" x14ac:dyDescent="0.3">
      <c r="B146" s="293" t="s">
        <v>535</v>
      </c>
      <c r="C146" s="294" t="s">
        <v>536</v>
      </c>
    </row>
    <row r="147" spans="2:3" ht="15.75" thickBot="1" x14ac:dyDescent="0.3">
      <c r="B147" s="293" t="s">
        <v>537</v>
      </c>
      <c r="C147" s="294" t="s">
        <v>538</v>
      </c>
    </row>
    <row r="148" spans="2:3" ht="15.75" thickBot="1" x14ac:dyDescent="0.3">
      <c r="B148" s="293" t="s">
        <v>539</v>
      </c>
      <c r="C148" s="294" t="s">
        <v>540</v>
      </c>
    </row>
    <row r="149" spans="2:3" ht="15.75" thickBot="1" x14ac:dyDescent="0.3">
      <c r="B149" s="293" t="s">
        <v>541</v>
      </c>
      <c r="C149" s="294" t="s">
        <v>542</v>
      </c>
    </row>
    <row r="150" spans="2:3" ht="15.75" thickBot="1" x14ac:dyDescent="0.3">
      <c r="B150" s="293" t="s">
        <v>206</v>
      </c>
      <c r="C150" s="294" t="s">
        <v>543</v>
      </c>
    </row>
    <row r="151" spans="2:3" ht="15.75" thickBot="1" x14ac:dyDescent="0.3">
      <c r="B151" s="293" t="s">
        <v>544</v>
      </c>
      <c r="C151" s="294" t="s">
        <v>545</v>
      </c>
    </row>
    <row r="152" spans="2:3" ht="15.75" thickBot="1" x14ac:dyDescent="0.3">
      <c r="B152" s="293" t="s">
        <v>546</v>
      </c>
      <c r="C152" s="294" t="s">
        <v>547</v>
      </c>
    </row>
    <row r="153" spans="2:3" ht="15.75" thickBot="1" x14ac:dyDescent="0.3">
      <c r="B153" s="293" t="s">
        <v>548</v>
      </c>
      <c r="C153" s="294" t="s">
        <v>549</v>
      </c>
    </row>
    <row r="154" spans="2:3" ht="15.75" thickBot="1" x14ac:dyDescent="0.3">
      <c r="B154" s="293" t="s">
        <v>550</v>
      </c>
      <c r="C154" s="294" t="s">
        <v>551</v>
      </c>
    </row>
    <row r="155" spans="2:3" ht="15.75" thickBot="1" x14ac:dyDescent="0.3">
      <c r="B155" s="293" t="s">
        <v>552</v>
      </c>
      <c r="C155" s="294" t="s">
        <v>553</v>
      </c>
    </row>
    <row r="156" spans="2:3" ht="15.75" thickBot="1" x14ac:dyDescent="0.3">
      <c r="B156" s="293" t="s">
        <v>554</v>
      </c>
      <c r="C156" s="294" t="s">
        <v>555</v>
      </c>
    </row>
    <row r="157" spans="2:3" ht="15.75" thickBot="1" x14ac:dyDescent="0.3">
      <c r="B157" s="293" t="s">
        <v>556</v>
      </c>
      <c r="C157" s="294" t="s">
        <v>557</v>
      </c>
    </row>
    <row r="158" spans="2:3" ht="15.75" thickBot="1" x14ac:dyDescent="0.3">
      <c r="B158" s="293" t="s">
        <v>558</v>
      </c>
      <c r="C158" s="294" t="s">
        <v>559</v>
      </c>
    </row>
    <row r="159" spans="2:3" ht="15.75" thickBot="1" x14ac:dyDescent="0.3">
      <c r="B159" s="293" t="s">
        <v>208</v>
      </c>
      <c r="C159" s="294" t="s">
        <v>560</v>
      </c>
    </row>
    <row r="160" spans="2:3" ht="15.75" thickBot="1" x14ac:dyDescent="0.3">
      <c r="B160" s="293" t="s">
        <v>561</v>
      </c>
      <c r="C160" s="294" t="s">
        <v>562</v>
      </c>
    </row>
    <row r="161" spans="2:3" ht="15.75" thickBot="1" x14ac:dyDescent="0.3">
      <c r="B161" s="293" t="s">
        <v>563</v>
      </c>
      <c r="C161" s="294" t="s">
        <v>564</v>
      </c>
    </row>
    <row r="162" spans="2:3" ht="15.75" thickBot="1" x14ac:dyDescent="0.3">
      <c r="B162" s="293" t="s">
        <v>565</v>
      </c>
      <c r="C162" s="294" t="s">
        <v>566</v>
      </c>
    </row>
    <row r="163" spans="2:3" ht="15.75" thickBot="1" x14ac:dyDescent="0.3">
      <c r="B163" s="293" t="s">
        <v>567</v>
      </c>
      <c r="C163" s="294" t="s">
        <v>568</v>
      </c>
    </row>
    <row r="164" spans="2:3" ht="15.75" thickBot="1" x14ac:dyDescent="0.3">
      <c r="B164" s="293" t="s">
        <v>569</v>
      </c>
      <c r="C164" s="294" t="s">
        <v>570</v>
      </c>
    </row>
    <row r="165" spans="2:3" ht="15.75" thickBot="1" x14ac:dyDescent="0.3">
      <c r="B165" s="293" t="s">
        <v>571</v>
      </c>
      <c r="C165" s="294" t="s">
        <v>572</v>
      </c>
    </row>
    <row r="166" spans="2:3" ht="15.75" thickBot="1" x14ac:dyDescent="0.3">
      <c r="B166" s="293" t="s">
        <v>573</v>
      </c>
      <c r="C166" s="294" t="s">
        <v>574</v>
      </c>
    </row>
    <row r="167" spans="2:3" ht="15.75" thickBot="1" x14ac:dyDescent="0.3">
      <c r="B167" s="293" t="s">
        <v>288</v>
      </c>
      <c r="C167" s="294" t="s">
        <v>575</v>
      </c>
    </row>
    <row r="168" spans="2:3" ht="15.75" thickBot="1" x14ac:dyDescent="0.3">
      <c r="B168" s="293" t="s">
        <v>576</v>
      </c>
      <c r="C168" s="294" t="s">
        <v>577</v>
      </c>
    </row>
    <row r="169" spans="2:3" ht="15.75" thickBot="1" x14ac:dyDescent="0.3">
      <c r="B169" s="293" t="s">
        <v>578</v>
      </c>
      <c r="C169" s="294" t="s">
        <v>579</v>
      </c>
    </row>
    <row r="170" spans="2:3" ht="15.75" thickBot="1" x14ac:dyDescent="0.3">
      <c r="B170" s="293" t="s">
        <v>580</v>
      </c>
      <c r="C170" s="294" t="s">
        <v>581</v>
      </c>
    </row>
    <row r="171" spans="2:3" ht="15.75" thickBot="1" x14ac:dyDescent="0.3">
      <c r="B171" s="293" t="s">
        <v>212</v>
      </c>
      <c r="C171" s="294" t="s">
        <v>582</v>
      </c>
    </row>
    <row r="172" spans="2:3" ht="15.75" thickBot="1" x14ac:dyDescent="0.3">
      <c r="B172" s="293" t="s">
        <v>583</v>
      </c>
      <c r="C172" s="294" t="s">
        <v>584</v>
      </c>
    </row>
    <row r="173" spans="2:3" ht="15.75" thickBot="1" x14ac:dyDescent="0.3">
      <c r="B173" s="293" t="s">
        <v>585</v>
      </c>
      <c r="C173" s="294" t="s">
        <v>586</v>
      </c>
    </row>
    <row r="174" spans="2:3" ht="15.75" thickBot="1" x14ac:dyDescent="0.3">
      <c r="B174" s="293" t="s">
        <v>587</v>
      </c>
      <c r="C174" s="293" t="s">
        <v>588</v>
      </c>
    </row>
    <row r="175" spans="2:3" ht="15.75" thickBot="1" x14ac:dyDescent="0.3">
      <c r="B175" s="293" t="s">
        <v>589</v>
      </c>
      <c r="C175" s="294" t="s">
        <v>590</v>
      </c>
    </row>
    <row r="176" spans="2:3" ht="15.75" thickBot="1" x14ac:dyDescent="0.3">
      <c r="B176" s="293" t="s">
        <v>591</v>
      </c>
      <c r="C176" s="294" t="s">
        <v>592</v>
      </c>
    </row>
    <row r="177" spans="2:3" ht="15.75" thickBot="1" x14ac:dyDescent="0.3">
      <c r="B177" s="293" t="s">
        <v>133</v>
      </c>
      <c r="C177" s="294" t="s">
        <v>593</v>
      </c>
    </row>
    <row r="178" spans="2:3" ht="15.75" thickBot="1" x14ac:dyDescent="0.3">
      <c r="B178" s="293" t="s">
        <v>216</v>
      </c>
      <c r="C178" s="294" t="s">
        <v>594</v>
      </c>
    </row>
    <row r="179" spans="2:3" ht="15.75" thickBot="1" x14ac:dyDescent="0.3">
      <c r="B179" s="293" t="s">
        <v>595</v>
      </c>
      <c r="C179" s="294" t="s">
        <v>596</v>
      </c>
    </row>
    <row r="180" spans="2:3" ht="15.75" thickBot="1" x14ac:dyDescent="0.3">
      <c r="B180" s="293" t="s">
        <v>597</v>
      </c>
      <c r="C180" s="294" t="s">
        <v>598</v>
      </c>
    </row>
    <row r="181" spans="2:3" ht="15.75" thickBot="1" x14ac:dyDescent="0.3">
      <c r="B181" s="293" t="s">
        <v>214</v>
      </c>
      <c r="C181" s="294" t="s">
        <v>599</v>
      </c>
    </row>
    <row r="182" spans="2:3" ht="15.75" thickBot="1" x14ac:dyDescent="0.3">
      <c r="B182" s="293" t="s">
        <v>600</v>
      </c>
      <c r="C182" s="294" t="s">
        <v>601</v>
      </c>
    </row>
    <row r="183" spans="2:3" ht="15.75" thickBot="1" x14ac:dyDescent="0.3">
      <c r="B183" s="293" t="s">
        <v>602</v>
      </c>
      <c r="C183" s="294" t="s">
        <v>603</v>
      </c>
    </row>
    <row r="184" spans="2:3" ht="15.75" thickBot="1" x14ac:dyDescent="0.3">
      <c r="B184" s="293" t="s">
        <v>604</v>
      </c>
      <c r="C184" s="294" t="s">
        <v>605</v>
      </c>
    </row>
    <row r="185" spans="2:3" ht="15.75" thickBot="1" x14ac:dyDescent="0.3">
      <c r="B185" s="293" t="s">
        <v>606</v>
      </c>
      <c r="C185" s="294" t="s">
        <v>607</v>
      </c>
    </row>
    <row r="186" spans="2:3" ht="15.75" thickBot="1" x14ac:dyDescent="0.3">
      <c r="B186" s="293" t="s">
        <v>608</v>
      </c>
      <c r="C186" s="294" t="s">
        <v>609</v>
      </c>
    </row>
    <row r="187" spans="2:3" x14ac:dyDescent="0.25">
      <c r="B187" s="403" t="s">
        <v>608</v>
      </c>
      <c r="C187" s="406" t="s">
        <v>610</v>
      </c>
    </row>
    <row r="188" spans="2:3" ht="15.75" thickBot="1" x14ac:dyDescent="0.3">
      <c r="B188" s="405"/>
      <c r="C188" s="408"/>
    </row>
    <row r="189" spans="2:3" ht="15.75" thickBot="1" x14ac:dyDescent="0.3">
      <c r="B189" s="293" t="s">
        <v>611</v>
      </c>
      <c r="C189" s="294" t="s">
        <v>612</v>
      </c>
    </row>
    <row r="190" spans="2:3" ht="15.75" thickBot="1" x14ac:dyDescent="0.3">
      <c r="B190" s="293" t="s">
        <v>613</v>
      </c>
      <c r="C190" s="294" t="s">
        <v>614</v>
      </c>
    </row>
    <row r="191" spans="2:3" ht="15.75" thickBot="1" x14ac:dyDescent="0.3">
      <c r="B191" s="293" t="s">
        <v>615</v>
      </c>
      <c r="C191" s="294" t="s">
        <v>616</v>
      </c>
    </row>
    <row r="192" spans="2:3" ht="15.75" thickBot="1" x14ac:dyDescent="0.3">
      <c r="B192" s="293" t="s">
        <v>617</v>
      </c>
      <c r="C192" s="294" t="s">
        <v>618</v>
      </c>
    </row>
    <row r="193" spans="2:3" ht="15.75" thickBot="1" x14ac:dyDescent="0.3">
      <c r="B193" s="293" t="s">
        <v>619</v>
      </c>
      <c r="C193" s="294" t="s">
        <v>620</v>
      </c>
    </row>
    <row r="194" spans="2:3" ht="15.75" thickBot="1" x14ac:dyDescent="0.3">
      <c r="B194" s="293" t="s">
        <v>621</v>
      </c>
      <c r="C194" s="294" t="s">
        <v>622</v>
      </c>
    </row>
    <row r="195" spans="2:3" ht="15.75" thickBot="1" x14ac:dyDescent="0.3">
      <c r="B195" s="293" t="s">
        <v>623</v>
      </c>
      <c r="C195" s="294" t="s">
        <v>624</v>
      </c>
    </row>
    <row r="196" spans="2:3" ht="15.75" thickBot="1" x14ac:dyDescent="0.3">
      <c r="B196" s="293" t="s">
        <v>220</v>
      </c>
      <c r="C196" s="294" t="s">
        <v>625</v>
      </c>
    </row>
    <row r="197" spans="2:3" ht="15.75" thickBot="1" x14ac:dyDescent="0.3">
      <c r="B197" s="293" t="s">
        <v>626</v>
      </c>
      <c r="C197" s="294" t="s">
        <v>627</v>
      </c>
    </row>
    <row r="198" spans="2:3" ht="15.75" thickBot="1" x14ac:dyDescent="0.3">
      <c r="B198" s="293" t="s">
        <v>218</v>
      </c>
      <c r="C198" s="294" t="s">
        <v>628</v>
      </c>
    </row>
    <row r="199" spans="2:3" ht="15.75" thickBot="1" x14ac:dyDescent="0.3">
      <c r="B199" s="293" t="s">
        <v>629</v>
      </c>
      <c r="C199" s="294" t="s">
        <v>630</v>
      </c>
    </row>
    <row r="200" spans="2:3" x14ac:dyDescent="0.25">
      <c r="B200" s="403" t="s">
        <v>631</v>
      </c>
      <c r="C200" s="406" t="s">
        <v>632</v>
      </c>
    </row>
    <row r="201" spans="2:3" ht="15.75" thickBot="1" x14ac:dyDescent="0.3">
      <c r="B201" s="405"/>
      <c r="C201" s="408"/>
    </row>
    <row r="202" spans="2:3" ht="15.75" thickBot="1" x14ac:dyDescent="0.3">
      <c r="B202" s="293" t="s">
        <v>633</v>
      </c>
      <c r="C202" s="294" t="s">
        <v>634</v>
      </c>
    </row>
    <row r="203" spans="2:3" ht="15.75" thickBot="1" x14ac:dyDescent="0.3">
      <c r="B203" s="293" t="s">
        <v>635</v>
      </c>
      <c r="C203" s="294" t="s">
        <v>636</v>
      </c>
    </row>
    <row r="204" spans="2:3" ht="15.75" thickBot="1" x14ac:dyDescent="0.3">
      <c r="B204" s="293" t="s">
        <v>637</v>
      </c>
      <c r="C204" s="294" t="s">
        <v>638</v>
      </c>
    </row>
    <row r="205" spans="2:3" ht="15.75" thickBot="1" x14ac:dyDescent="0.3">
      <c r="B205" s="293" t="s">
        <v>639</v>
      </c>
      <c r="C205" s="294" t="s">
        <v>640</v>
      </c>
    </row>
    <row r="206" spans="2:3" ht="15.75" thickBot="1" x14ac:dyDescent="0.3">
      <c r="B206" s="293" t="s">
        <v>641</v>
      </c>
      <c r="C206" s="294" t="s">
        <v>642</v>
      </c>
    </row>
    <row r="207" spans="2:3" ht="15.75" thickBot="1" x14ac:dyDescent="0.3">
      <c r="B207" s="293" t="s">
        <v>643</v>
      </c>
      <c r="C207" s="294" t="s">
        <v>644</v>
      </c>
    </row>
    <row r="208" spans="2:3" ht="15.75" thickBot="1" x14ac:dyDescent="0.3">
      <c r="B208" s="293" t="s">
        <v>645</v>
      </c>
      <c r="C208" s="294" t="s">
        <v>646</v>
      </c>
    </row>
    <row r="209" spans="2:3" ht="15.75" thickBot="1" x14ac:dyDescent="0.3">
      <c r="B209" s="293" t="s">
        <v>222</v>
      </c>
      <c r="C209" s="294" t="s">
        <v>647</v>
      </c>
    </row>
    <row r="210" spans="2:3" ht="15.75" thickBot="1" x14ac:dyDescent="0.3">
      <c r="B210" s="293" t="s">
        <v>648</v>
      </c>
      <c r="C210" s="294" t="s">
        <v>649</v>
      </c>
    </row>
    <row r="211" spans="2:3" ht="15.75" thickBot="1" x14ac:dyDescent="0.3">
      <c r="B211" s="293" t="s">
        <v>650</v>
      </c>
      <c r="C211" s="294" t="s">
        <v>651</v>
      </c>
    </row>
    <row r="212" spans="2:3" ht="15.75" thickBot="1" x14ac:dyDescent="0.3">
      <c r="B212" s="293" t="s">
        <v>136</v>
      </c>
      <c r="C212" s="294" t="s">
        <v>652</v>
      </c>
    </row>
    <row r="213" spans="2:3" ht="15.75" thickBot="1" x14ac:dyDescent="0.3">
      <c r="B213" s="293" t="s">
        <v>653</v>
      </c>
      <c r="C213" s="294" t="s">
        <v>654</v>
      </c>
    </row>
    <row r="214" spans="2:3" ht="15.75" thickBot="1" x14ac:dyDescent="0.3">
      <c r="B214" s="293" t="s">
        <v>226</v>
      </c>
      <c r="C214" s="294" t="s">
        <v>655</v>
      </c>
    </row>
    <row r="215" spans="2:3" x14ac:dyDescent="0.25">
      <c r="B215" s="403" t="s">
        <v>226</v>
      </c>
      <c r="C215" s="406" t="s">
        <v>656</v>
      </c>
    </row>
    <row r="216" spans="2:3" ht="15.75" thickBot="1" x14ac:dyDescent="0.3">
      <c r="B216" s="405"/>
      <c r="C216" s="408"/>
    </row>
    <row r="217" spans="2:3" ht="15.75" thickBot="1" x14ac:dyDescent="0.3">
      <c r="B217" s="293" t="s">
        <v>657</v>
      </c>
      <c r="C217" s="294" t="s">
        <v>658</v>
      </c>
    </row>
    <row r="218" spans="2:3" ht="15.75" thickBot="1" x14ac:dyDescent="0.3">
      <c r="B218" s="293" t="s">
        <v>230</v>
      </c>
      <c r="C218" s="294" t="s">
        <v>659</v>
      </c>
    </row>
    <row r="219" spans="2:3" ht="15.75" thickBot="1" x14ac:dyDescent="0.3">
      <c r="B219" s="293" t="s">
        <v>660</v>
      </c>
      <c r="C219" s="294" t="s">
        <v>661</v>
      </c>
    </row>
    <row r="220" spans="2:3" ht="15.75" thickBot="1" x14ac:dyDescent="0.3">
      <c r="B220" s="293" t="s">
        <v>662</v>
      </c>
      <c r="C220" s="294" t="s">
        <v>663</v>
      </c>
    </row>
    <row r="221" spans="2:3" ht="15.75" thickBot="1" x14ac:dyDescent="0.3">
      <c r="B221" s="293" t="s">
        <v>664</v>
      </c>
      <c r="C221" s="294" t="s">
        <v>665</v>
      </c>
    </row>
    <row r="222" spans="2:3" ht="15.75" thickBot="1" x14ac:dyDescent="0.3">
      <c r="B222" s="293" t="s">
        <v>134</v>
      </c>
      <c r="C222" s="294" t="s">
        <v>666</v>
      </c>
    </row>
    <row r="223" spans="2:3" ht="15.75" thickBot="1" x14ac:dyDescent="0.3">
      <c r="B223" s="293" t="s">
        <v>667</v>
      </c>
      <c r="C223" s="294" t="s">
        <v>668</v>
      </c>
    </row>
    <row r="224" spans="2:3" ht="15.75" thickBot="1" x14ac:dyDescent="0.3">
      <c r="B224" s="293" t="s">
        <v>669</v>
      </c>
      <c r="C224" s="294" t="s">
        <v>670</v>
      </c>
    </row>
    <row r="225" spans="2:3" ht="15.75" thickBot="1" x14ac:dyDescent="0.3">
      <c r="B225" s="293" t="s">
        <v>671</v>
      </c>
      <c r="C225" s="294" t="s">
        <v>672</v>
      </c>
    </row>
    <row r="226" spans="2:3" ht="15.75" thickBot="1" x14ac:dyDescent="0.3">
      <c r="B226" s="293" t="s">
        <v>237</v>
      </c>
      <c r="C226" s="294" t="s">
        <v>673</v>
      </c>
    </row>
    <row r="227" spans="2:3" ht="15.75" thickBot="1" x14ac:dyDescent="0.3">
      <c r="B227" s="293" t="s">
        <v>233</v>
      </c>
      <c r="C227" s="294" t="s">
        <v>674</v>
      </c>
    </row>
    <row r="228" spans="2:3" ht="15.75" thickBot="1" x14ac:dyDescent="0.3">
      <c r="B228" s="293" t="s">
        <v>675</v>
      </c>
      <c r="C228" s="294" t="s">
        <v>676</v>
      </c>
    </row>
    <row r="229" spans="2:3" ht="15.75" thickBot="1" x14ac:dyDescent="0.3">
      <c r="B229" s="293" t="s">
        <v>675</v>
      </c>
      <c r="C229" s="294" t="s">
        <v>677</v>
      </c>
    </row>
    <row r="230" spans="2:3" ht="15.75" thickBot="1" x14ac:dyDescent="0.3">
      <c r="B230" s="293" t="s">
        <v>678</v>
      </c>
      <c r="C230" s="294" t="s">
        <v>679</v>
      </c>
    </row>
    <row r="231" spans="2:3" ht="15.75" thickBot="1" x14ac:dyDescent="0.3">
      <c r="B231" s="293" t="s">
        <v>680</v>
      </c>
      <c r="C231" s="294" t="s">
        <v>681</v>
      </c>
    </row>
    <row r="232" spans="2:3" ht="15.75" thickBot="1" x14ac:dyDescent="0.3">
      <c r="B232" s="293" t="s">
        <v>682</v>
      </c>
      <c r="C232" s="294" t="s">
        <v>683</v>
      </c>
    </row>
    <row r="233" spans="2:3" ht="15.75" thickBot="1" x14ac:dyDescent="0.3">
      <c r="B233" s="293" t="s">
        <v>684</v>
      </c>
      <c r="C233" s="294" t="s">
        <v>685</v>
      </c>
    </row>
    <row r="234" spans="2:3" ht="15.75" thickBot="1" x14ac:dyDescent="0.3">
      <c r="B234" s="293" t="s">
        <v>686</v>
      </c>
      <c r="C234" s="294" t="s">
        <v>687</v>
      </c>
    </row>
    <row r="235" spans="2:3" ht="15.75" thickBot="1" x14ac:dyDescent="0.3">
      <c r="B235" s="293" t="s">
        <v>688</v>
      </c>
      <c r="C235" s="294" t="s">
        <v>689</v>
      </c>
    </row>
    <row r="236" spans="2:3" ht="15.75" thickBot="1" x14ac:dyDescent="0.3">
      <c r="B236" s="293" t="s">
        <v>690</v>
      </c>
      <c r="C236" s="294" t="s">
        <v>691</v>
      </c>
    </row>
    <row r="237" spans="2:3" ht="15.75" thickBot="1" x14ac:dyDescent="0.3">
      <c r="B237" s="293" t="s">
        <v>692</v>
      </c>
      <c r="C237" s="294" t="s">
        <v>693</v>
      </c>
    </row>
    <row r="238" spans="2:3" ht="15.75" thickBot="1" x14ac:dyDescent="0.3">
      <c r="B238" s="293" t="s">
        <v>694</v>
      </c>
      <c r="C238" s="294" t="s">
        <v>695</v>
      </c>
    </row>
    <row r="239" spans="2:3" ht="15.75" thickBot="1" x14ac:dyDescent="0.3">
      <c r="B239" s="293" t="s">
        <v>235</v>
      </c>
      <c r="C239" s="294" t="s">
        <v>696</v>
      </c>
    </row>
    <row r="240" spans="2:3" ht="15.75" thickBot="1" x14ac:dyDescent="0.3">
      <c r="B240" s="293" t="s">
        <v>239</v>
      </c>
      <c r="C240" s="294" t="s">
        <v>697</v>
      </c>
    </row>
    <row r="241" spans="2:3" ht="15.75" thickBot="1" x14ac:dyDescent="0.3">
      <c r="B241" s="293" t="s">
        <v>698</v>
      </c>
      <c r="C241" s="295" t="s">
        <v>699</v>
      </c>
    </row>
    <row r="242" spans="2:3" ht="15.75" thickBot="1" x14ac:dyDescent="0.3">
      <c r="B242" s="293" t="s">
        <v>241</v>
      </c>
      <c r="C242" s="294" t="s">
        <v>700</v>
      </c>
    </row>
    <row r="243" spans="2:3" ht="15.75" thickBot="1" x14ac:dyDescent="0.3">
      <c r="B243" s="293" t="s">
        <v>701</v>
      </c>
      <c r="C243" s="294" t="s">
        <v>702</v>
      </c>
    </row>
    <row r="244" spans="2:3" ht="15.75" thickBot="1" x14ac:dyDescent="0.3">
      <c r="B244" s="293" t="s">
        <v>703</v>
      </c>
      <c r="C244" s="294" t="s">
        <v>704</v>
      </c>
    </row>
    <row r="245" spans="2:3" ht="15.75" thickBot="1" x14ac:dyDescent="0.3">
      <c r="B245" s="293" t="s">
        <v>705</v>
      </c>
      <c r="C245" s="294" t="s">
        <v>706</v>
      </c>
    </row>
    <row r="246" spans="2:3" ht="15.75" thickBot="1" x14ac:dyDescent="0.3">
      <c r="B246" s="293" t="s">
        <v>707</v>
      </c>
      <c r="C246" s="294" t="s">
        <v>708</v>
      </c>
    </row>
    <row r="247" spans="2:3" ht="15.75" thickBot="1" x14ac:dyDescent="0.3">
      <c r="B247" s="293" t="s">
        <v>709</v>
      </c>
      <c r="C247" s="294" t="s">
        <v>710</v>
      </c>
    </row>
    <row r="248" spans="2:3" ht="15.75" thickBot="1" x14ac:dyDescent="0.3">
      <c r="B248" s="293" t="s">
        <v>243</v>
      </c>
      <c r="C248" s="294" t="s">
        <v>711</v>
      </c>
    </row>
    <row r="249" spans="2:3" ht="15.75" thickBot="1" x14ac:dyDescent="0.3">
      <c r="B249" s="293" t="s">
        <v>712</v>
      </c>
      <c r="C249" s="294" t="s">
        <v>713</v>
      </c>
    </row>
    <row r="250" spans="2:3" ht="15.75" thickBot="1" x14ac:dyDescent="0.3">
      <c r="B250" s="293" t="s">
        <v>714</v>
      </c>
      <c r="C250" s="294" t="s">
        <v>715</v>
      </c>
    </row>
    <row r="251" spans="2:3" x14ac:dyDescent="0.25">
      <c r="B251" s="403" t="s">
        <v>716</v>
      </c>
      <c r="C251" s="406" t="s">
        <v>717</v>
      </c>
    </row>
    <row r="252" spans="2:3" ht="15.75" thickBot="1" x14ac:dyDescent="0.3">
      <c r="B252" s="405"/>
      <c r="C252" s="408"/>
    </row>
    <row r="253" spans="2:3" ht="15.75" thickBot="1" x14ac:dyDescent="0.3">
      <c r="B253" s="293" t="s">
        <v>245</v>
      </c>
      <c r="C253" s="294" t="s">
        <v>718</v>
      </c>
    </row>
    <row r="254" spans="2:3" ht="15.75" thickBot="1" x14ac:dyDescent="0.3">
      <c r="B254" s="293" t="s">
        <v>719</v>
      </c>
      <c r="C254" s="294" t="s">
        <v>720</v>
      </c>
    </row>
    <row r="255" spans="2:3" ht="15.75" thickBot="1" x14ac:dyDescent="0.3">
      <c r="B255" s="293" t="s">
        <v>721</v>
      </c>
      <c r="C255" s="294" t="s">
        <v>722</v>
      </c>
    </row>
    <row r="256" spans="2:3" ht="15.75" thickBot="1" x14ac:dyDescent="0.3">
      <c r="B256" s="293" t="s">
        <v>210</v>
      </c>
      <c r="C256" s="294" t="s">
        <v>723</v>
      </c>
    </row>
    <row r="257" spans="2:3" ht="15.75" thickBot="1" x14ac:dyDescent="0.3">
      <c r="B257" s="293" t="s">
        <v>724</v>
      </c>
      <c r="C257" s="294" t="s">
        <v>725</v>
      </c>
    </row>
    <row r="258" spans="2:3" ht="15.75" thickBot="1" x14ac:dyDescent="0.3">
      <c r="B258" s="293" t="s">
        <v>135</v>
      </c>
      <c r="C258" s="294" t="s">
        <v>726</v>
      </c>
    </row>
    <row r="259" spans="2:3" ht="15.75" thickBot="1" x14ac:dyDescent="0.3">
      <c r="B259" s="293" t="s">
        <v>727</v>
      </c>
      <c r="C259" s="294" t="s">
        <v>728</v>
      </c>
    </row>
    <row r="260" spans="2:3" ht="15.75" thickBot="1" x14ac:dyDescent="0.3">
      <c r="B260" s="293" t="s">
        <v>729</v>
      </c>
      <c r="C260" s="293" t="s">
        <v>730</v>
      </c>
    </row>
    <row r="261" spans="2:3" ht="15.75" thickBot="1" x14ac:dyDescent="0.3">
      <c r="B261" s="293" t="s">
        <v>731</v>
      </c>
      <c r="C261" s="294" t="s">
        <v>732</v>
      </c>
    </row>
    <row r="262" spans="2:3" ht="15.75" thickBot="1" x14ac:dyDescent="0.3">
      <c r="B262" s="293" t="s">
        <v>733</v>
      </c>
      <c r="C262" s="293" t="s">
        <v>734</v>
      </c>
    </row>
    <row r="263" spans="2:3" ht="15.75" thickBot="1" x14ac:dyDescent="0.3">
      <c r="B263" s="293" t="s">
        <v>735</v>
      </c>
      <c r="C263" s="293" t="s">
        <v>736</v>
      </c>
    </row>
    <row r="264" spans="2:3" ht="15.75" thickBot="1" x14ac:dyDescent="0.3">
      <c r="B264" s="293" t="s">
        <v>737</v>
      </c>
      <c r="C264" s="293" t="s">
        <v>738</v>
      </c>
    </row>
    <row r="265" spans="2:3" ht="15.75" thickBot="1" x14ac:dyDescent="0.3">
      <c r="B265" s="293" t="s">
        <v>739</v>
      </c>
      <c r="C265" s="293" t="s">
        <v>740</v>
      </c>
    </row>
    <row r="266" spans="2:3" ht="15.75" thickBot="1" x14ac:dyDescent="0.3">
      <c r="B266" s="293" t="s">
        <v>741</v>
      </c>
      <c r="C266" s="293" t="s">
        <v>742</v>
      </c>
    </row>
    <row r="267" spans="2:3" ht="15.75" thickBot="1" x14ac:dyDescent="0.3">
      <c r="B267" s="293" t="s">
        <v>743</v>
      </c>
      <c r="C267" s="293" t="s">
        <v>744</v>
      </c>
    </row>
    <row r="268" spans="2:3" ht="15.75" thickBot="1" x14ac:dyDescent="0.3">
      <c r="B268" s="293" t="s">
        <v>745</v>
      </c>
      <c r="C268" s="293" t="s">
        <v>746</v>
      </c>
    </row>
    <row r="269" spans="2:3" ht="15.75" thickBot="1" x14ac:dyDescent="0.3">
      <c r="B269" s="293" t="s">
        <v>747</v>
      </c>
      <c r="C269" s="294" t="s">
        <v>748</v>
      </c>
    </row>
    <row r="270" spans="2:3" ht="15.75" thickBot="1" x14ac:dyDescent="0.3">
      <c r="B270" s="293" t="s">
        <v>749</v>
      </c>
      <c r="C270" s="293" t="s">
        <v>750</v>
      </c>
    </row>
    <row r="271" spans="2:3" ht="15.75" thickBot="1" x14ac:dyDescent="0.3">
      <c r="B271" s="293" t="s">
        <v>751</v>
      </c>
      <c r="C271" s="293" t="s">
        <v>752</v>
      </c>
    </row>
    <row r="272" spans="2:3" ht="15.75" thickBot="1" x14ac:dyDescent="0.3">
      <c r="B272" s="293" t="s">
        <v>753</v>
      </c>
      <c r="C272" s="294" t="s">
        <v>754</v>
      </c>
    </row>
    <row r="273" spans="2:3" ht="15.75" thickBot="1" x14ac:dyDescent="0.3">
      <c r="B273" s="293" t="s">
        <v>755</v>
      </c>
      <c r="C273" s="294" t="s">
        <v>756</v>
      </c>
    </row>
    <row r="274" spans="2:3" x14ac:dyDescent="0.25">
      <c r="B274" s="403" t="s">
        <v>757</v>
      </c>
      <c r="C274" s="406" t="s">
        <v>758</v>
      </c>
    </row>
    <row r="275" spans="2:3" x14ac:dyDescent="0.25">
      <c r="B275" s="404"/>
      <c r="C275" s="407"/>
    </row>
    <row r="276" spans="2:3" ht="15.75" thickBot="1" x14ac:dyDescent="0.3">
      <c r="B276" s="405"/>
      <c r="C276" s="408"/>
    </row>
    <row r="277" spans="2:3" x14ac:dyDescent="0.25">
      <c r="B277" s="403" t="s">
        <v>759</v>
      </c>
      <c r="C277" s="406" t="s">
        <v>760</v>
      </c>
    </row>
    <row r="278" spans="2:3" ht="15.75" thickBot="1" x14ac:dyDescent="0.3">
      <c r="B278" s="405"/>
      <c r="C278" s="408"/>
    </row>
    <row r="279" spans="2:3" ht="15.75" thickBot="1" x14ac:dyDescent="0.3">
      <c r="B279" s="293" t="s">
        <v>761</v>
      </c>
      <c r="C279" s="294" t="s">
        <v>762</v>
      </c>
    </row>
    <row r="280" spans="2:3" ht="15.75" thickBot="1" x14ac:dyDescent="0.3">
      <c r="B280" s="293" t="s">
        <v>247</v>
      </c>
      <c r="C280" s="294" t="s">
        <v>763</v>
      </c>
    </row>
    <row r="281" spans="2:3" ht="15.75" thickBot="1" x14ac:dyDescent="0.3">
      <c r="B281" s="293" t="s">
        <v>764</v>
      </c>
      <c r="C281" s="296"/>
    </row>
  </sheetData>
  <mergeCells count="16">
    <mergeCell ref="B187:B188"/>
    <mergeCell ref="C187:C188"/>
    <mergeCell ref="B200:B201"/>
    <mergeCell ref="C200:C201"/>
    <mergeCell ref="B110:B112"/>
    <mergeCell ref="C110:C112"/>
    <mergeCell ref="B120:B121"/>
    <mergeCell ref="C120:C121"/>
    <mergeCell ref="B274:B276"/>
    <mergeCell ref="C274:C276"/>
    <mergeCell ref="B277:B278"/>
    <mergeCell ref="C277:C278"/>
    <mergeCell ref="B215:B216"/>
    <mergeCell ref="C215:C216"/>
    <mergeCell ref="B251:B252"/>
    <mergeCell ref="C251:C252"/>
  </mergeCells>
  <hyperlinks>
    <hyperlink ref="C2" r:id="rId1" tooltip="Aruba" display="https://en.wikipedia.org/wiki/Aruba" xr:uid="{00000000-0004-0000-2300-000000000000}"/>
    <hyperlink ref="C3" r:id="rId2" tooltip="Asia" display="https://en.wikipedia.org/wiki/Asia" xr:uid="{00000000-0004-0000-2300-000001000000}"/>
    <hyperlink ref="C4" r:id="rId3" tooltip="Antigua and Barbuda" display="https://en.wikipedia.org/wiki/Antigua_and_Barbuda" xr:uid="{00000000-0004-0000-2300-000002000000}"/>
    <hyperlink ref="C5" r:id="rId4" tooltip="Afghanistan" display="https://en.wikipedia.org/wiki/Afghanistan" xr:uid="{00000000-0004-0000-2300-000003000000}"/>
    <hyperlink ref="C6" r:id="rId5" tooltip="Algeria" display="https://en.wikipedia.org/wiki/Algeria" xr:uid="{00000000-0004-0000-2300-000004000000}"/>
    <hyperlink ref="C7" r:id="rId6" tooltip="Azerbaijan" display="https://en.wikipedia.org/wiki/Azerbaijan" xr:uid="{00000000-0004-0000-2300-000005000000}"/>
    <hyperlink ref="C8" r:id="rId7" tooltip="Albania" display="https://en.wikipedia.org/wiki/Albania" xr:uid="{00000000-0004-0000-2300-000006000000}"/>
    <hyperlink ref="C9" r:id="rId8" tooltip="Armenia" display="https://en.wikipedia.org/wiki/Armenia" xr:uid="{00000000-0004-0000-2300-000007000000}"/>
    <hyperlink ref="C10" r:id="rId9" tooltip="Andorra" display="https://en.wikipedia.org/wiki/Andorra" xr:uid="{00000000-0004-0000-2300-000008000000}"/>
    <hyperlink ref="C11" r:id="rId10" tooltip="Angola" display="https://en.wikipedia.org/wiki/Angola" xr:uid="{00000000-0004-0000-2300-000009000000}"/>
    <hyperlink ref="C12" r:id="rId11" tooltip="Argentina" display="https://en.wikipedia.org/wiki/Argentina" xr:uid="{00000000-0004-0000-2300-00000A000000}"/>
    <hyperlink ref="C13" r:id="rId12" tooltip="Australia" display="https://en.wikipedia.org/wiki/Australia" xr:uid="{00000000-0004-0000-2300-00000B000000}"/>
    <hyperlink ref="C14" r:id="rId13" tooltip="Ashmore and Cartier Islands" display="https://en.wikipedia.org/wiki/Ashmore_and_Cartier_Islands" xr:uid="{00000000-0004-0000-2300-00000C000000}"/>
    <hyperlink ref="C15" r:id="rId14" tooltip="Austria" display="https://en.wikipedia.org/wiki/Austria" xr:uid="{00000000-0004-0000-2300-00000D000000}"/>
    <hyperlink ref="C16" r:id="rId15" tooltip="Anguilla" display="https://en.wikipedia.org/wiki/Anguilla" xr:uid="{00000000-0004-0000-2300-00000E000000}"/>
    <hyperlink ref="C17" r:id="rId16" tooltip="Antarctica" display="https://en.wikipedia.org/wiki/Antarctica" xr:uid="{00000000-0004-0000-2300-00000F000000}"/>
    <hyperlink ref="C18" r:id="rId17" tooltip="Bahrain" display="https://en.wikipedia.org/wiki/Bahrain" xr:uid="{00000000-0004-0000-2300-000010000000}"/>
    <hyperlink ref="C19" r:id="rId18" tooltip="Barbados" display="https://en.wikipedia.org/wiki/Barbados" xr:uid="{00000000-0004-0000-2300-000011000000}"/>
    <hyperlink ref="C20" r:id="rId19" tooltip="Botswana" display="https://en.wikipedia.org/wiki/Botswana" xr:uid="{00000000-0004-0000-2300-000012000000}"/>
    <hyperlink ref="C21" r:id="rId20" tooltip="Bermuda" display="https://en.wikipedia.org/wiki/Bermuda" xr:uid="{00000000-0004-0000-2300-000013000000}"/>
    <hyperlink ref="C22" r:id="rId21" tooltip="Belgium" display="https://en.wikipedia.org/wiki/Belgium" xr:uid="{00000000-0004-0000-2300-000014000000}"/>
    <hyperlink ref="C23" r:id="rId22" tooltip="Bahamas" display="https://en.wikipedia.org/wiki/Bahamas" xr:uid="{00000000-0004-0000-2300-000015000000}"/>
    <hyperlink ref="C24" r:id="rId23" tooltip="Bangladesh" display="https://en.wikipedia.org/wiki/Bangladesh" xr:uid="{00000000-0004-0000-2300-000016000000}"/>
    <hyperlink ref="C25" r:id="rId24" tooltip="Belize" display="https://en.wikipedia.org/wiki/Belize" xr:uid="{00000000-0004-0000-2300-000017000000}"/>
    <hyperlink ref="C26" r:id="rId25" tooltip="Bosnia-Herzegovina" display="https://en.wikipedia.org/wiki/Bosnia-Herzegovina" xr:uid="{00000000-0004-0000-2300-000018000000}"/>
    <hyperlink ref="C27" r:id="rId26" tooltip="Bolivia" display="https://en.wikipedia.org/wiki/Bolivia" xr:uid="{00000000-0004-0000-2300-000019000000}"/>
    <hyperlink ref="C28" r:id="rId27" tooltip="Myanmar" display="https://en.wikipedia.org/wiki/Myanmar" xr:uid="{00000000-0004-0000-2300-00001A000000}"/>
    <hyperlink ref="C29" r:id="rId28" tooltip="Benin" display="https://en.wikipedia.org/wiki/Benin" xr:uid="{00000000-0004-0000-2300-00001B000000}"/>
    <hyperlink ref="C30" r:id="rId29" tooltip="Belarus" display="https://en.wikipedia.org/wiki/Belarus" xr:uid="{00000000-0004-0000-2300-00001C000000}"/>
    <hyperlink ref="C31" r:id="rId30" tooltip="Solomon Islands" display="https://en.wikipedia.org/wiki/Solomon_Islands" xr:uid="{00000000-0004-0000-2300-00001D000000}"/>
    <hyperlink ref="C32" r:id="rId31" tooltip="Brazil" display="https://en.wikipedia.org/wiki/Brazil" xr:uid="{00000000-0004-0000-2300-00001E000000}"/>
    <hyperlink ref="C33" r:id="rId32" tooltip="Bhutan" display="https://en.wikipedia.org/wiki/Bhutan" xr:uid="{00000000-0004-0000-2300-00001F000000}"/>
    <hyperlink ref="C34" r:id="rId33" tooltip="Bulgaria" display="https://en.wikipedia.org/wiki/Bulgaria" xr:uid="{00000000-0004-0000-2300-000020000000}"/>
    <hyperlink ref="C35" r:id="rId34" tooltip="Bouvet Island" display="https://en.wikipedia.org/wiki/Bouvet_Island" xr:uid="{00000000-0004-0000-2300-000021000000}"/>
    <hyperlink ref="C36" r:id="rId35" tooltip="Brunei" display="https://en.wikipedia.org/wiki/Brunei" xr:uid="{00000000-0004-0000-2300-000022000000}"/>
    <hyperlink ref="C37" r:id="rId36" tooltip="Burundi" display="https://en.wikipedia.org/wiki/Burundi" xr:uid="{00000000-0004-0000-2300-000023000000}"/>
    <hyperlink ref="C38" r:id="rId37" tooltip="Canada" display="https://en.wikipedia.org/wiki/Canada" xr:uid="{00000000-0004-0000-2300-000024000000}"/>
    <hyperlink ref="C39" r:id="rId38" tooltip="Cambodia" display="https://en.wikipedia.org/wiki/Cambodia" xr:uid="{00000000-0004-0000-2300-000025000000}"/>
    <hyperlink ref="C40" r:id="rId39" tooltip="Chad" display="https://en.wikipedia.org/wiki/Chad" xr:uid="{00000000-0004-0000-2300-000026000000}"/>
    <hyperlink ref="C41" r:id="rId40" tooltip="Sri Lanka" display="https://en.wikipedia.org/wiki/Sri_Lanka" xr:uid="{00000000-0004-0000-2300-000027000000}"/>
    <hyperlink ref="C42" r:id="rId41" tooltip="Republic of the Congo" display="https://en.wikipedia.org/wiki/Republic_of_the_Congo" xr:uid="{00000000-0004-0000-2300-000028000000}"/>
    <hyperlink ref="C43" r:id="rId42" tooltip="Democratic Republic of the Congo" display="https://en.wikipedia.org/wiki/Democratic_Republic_of_the_Congo" xr:uid="{00000000-0004-0000-2300-000029000000}"/>
    <hyperlink ref="C44" r:id="rId43" tooltip="People's Republic of China" display="https://en.wikipedia.org/wiki/People%27s_Republic_of_China" xr:uid="{00000000-0004-0000-2300-00002A000000}"/>
    <hyperlink ref="C45" r:id="rId44" tooltip="Chile" display="https://en.wikipedia.org/wiki/Chile" xr:uid="{00000000-0004-0000-2300-00002B000000}"/>
    <hyperlink ref="C46" r:id="rId45" tooltip="Cayman Islands" display="https://en.wikipedia.org/wiki/Cayman_Islands" xr:uid="{00000000-0004-0000-2300-00002C000000}"/>
    <hyperlink ref="C47" r:id="rId46" tooltip="Cocos (Keeling) Islands" display="https://en.wikipedia.org/wiki/Cocos_(Keeling)_Islands" xr:uid="{00000000-0004-0000-2300-00002D000000}"/>
    <hyperlink ref="C48" r:id="rId47" tooltip="Cameroun" display="https://en.wikipedia.org/wiki/Cameroun" xr:uid="{00000000-0004-0000-2300-00002E000000}"/>
    <hyperlink ref="C49" r:id="rId48" tooltip="Comoros" display="https://en.wikipedia.org/wiki/Comoros" xr:uid="{00000000-0004-0000-2300-00002F000000}"/>
    <hyperlink ref="C50" r:id="rId49" tooltip="Colombia" display="https://en.wikipedia.org/wiki/Colombia" xr:uid="{00000000-0004-0000-2300-000030000000}"/>
    <hyperlink ref="C51" r:id="rId50" tooltip="Northern Mariana Islands" display="https://en.wikipedia.org/wiki/Northern_Mariana_Islands" xr:uid="{00000000-0004-0000-2300-000031000000}"/>
    <hyperlink ref="C52" r:id="rId51" tooltip="Coral Sea Islands" display="https://en.wikipedia.org/wiki/Coral_Sea_Islands" xr:uid="{00000000-0004-0000-2300-000032000000}"/>
    <hyperlink ref="C53" r:id="rId52" tooltip="Costa Rica" display="https://en.wikipedia.org/wiki/Costa_Rica" xr:uid="{00000000-0004-0000-2300-000033000000}"/>
    <hyperlink ref="C54" r:id="rId53" tooltip="Central African Republic" display="https://en.wikipedia.org/wiki/Central_African_Republic" xr:uid="{00000000-0004-0000-2300-000034000000}"/>
    <hyperlink ref="C55" r:id="rId54" tooltip="Cuba" display="https://en.wikipedia.org/wiki/Cuba" xr:uid="{00000000-0004-0000-2300-000035000000}"/>
    <hyperlink ref="C56" r:id="rId55" tooltip="Cape Verde" display="https://en.wikipedia.org/wiki/Cape_Verde" xr:uid="{00000000-0004-0000-2300-000036000000}"/>
    <hyperlink ref="C57" r:id="rId56" tooltip="Cook Islands" display="https://en.wikipedia.org/wiki/Cook_Islands" xr:uid="{00000000-0004-0000-2300-000037000000}"/>
    <hyperlink ref="C58" r:id="rId57" tooltip="Cyprus" display="https://en.wikipedia.org/wiki/Cyprus" xr:uid="{00000000-0004-0000-2300-000038000000}"/>
    <hyperlink ref="C59" r:id="rId58" tooltip="Czech Republic" display="https://en.wikipedia.org/wiki/Czech_Republic" xr:uid="{00000000-0004-0000-2300-000039000000}"/>
    <hyperlink ref="C60" r:id="rId59" tooltip="Denmark" display="https://en.wikipedia.org/wiki/Denmark" xr:uid="{00000000-0004-0000-2300-00003A000000}"/>
    <hyperlink ref="C61" r:id="rId60" tooltip="Djibouti" display="https://en.wikipedia.org/wiki/Djibouti" xr:uid="{00000000-0004-0000-2300-00003B000000}"/>
    <hyperlink ref="C62" r:id="rId61" tooltip="Dominica" display="https://en.wikipedia.org/wiki/Dominica" xr:uid="{00000000-0004-0000-2300-00003C000000}"/>
    <hyperlink ref="C63" r:id="rId62" tooltip="Dominican Republic" display="https://en.wikipedia.org/wiki/Dominican_Republic" xr:uid="{00000000-0004-0000-2300-00003D000000}"/>
    <hyperlink ref="C64" r:id="rId63" tooltip="Ecuador" display="https://en.wikipedia.org/wiki/Ecuador" xr:uid="{00000000-0004-0000-2300-00003E000000}"/>
    <hyperlink ref="C65" r:id="rId64" tooltip="Europe" display="https://en.wikipedia.org/wiki/Europe" xr:uid="{00000000-0004-0000-2300-00003F000000}"/>
    <hyperlink ref="C66" r:id="rId65" tooltip="Egypt" display="https://en.wikipedia.org/wiki/Egypt" xr:uid="{00000000-0004-0000-2300-000040000000}"/>
    <hyperlink ref="C67" r:id="rId66" tooltip="Republic of Ireland" display="https://en.wikipedia.org/wiki/Republic_of_Ireland" xr:uid="{00000000-0004-0000-2300-000041000000}"/>
    <hyperlink ref="C68" r:id="rId67" tooltip="Equatorial Guinea" display="https://en.wikipedia.org/wiki/Equatorial_Guinea" xr:uid="{00000000-0004-0000-2300-000042000000}"/>
    <hyperlink ref="C69" r:id="rId68" tooltip="Estonia" display="https://en.wikipedia.org/wiki/Estonia" xr:uid="{00000000-0004-0000-2300-000043000000}"/>
    <hyperlink ref="C70" r:id="rId69" tooltip="Eritrea" display="https://en.wikipedia.org/wiki/Eritrea" xr:uid="{00000000-0004-0000-2300-000044000000}"/>
    <hyperlink ref="C71" r:id="rId70" tooltip="Spain" display="https://en.wikipedia.org/wiki/Spain" xr:uid="{00000000-0004-0000-2300-000045000000}"/>
    <hyperlink ref="C72" r:id="rId71" tooltip="Ethiopia" display="https://en.wikipedia.org/wiki/Ethiopia" xr:uid="{00000000-0004-0000-2300-000046000000}"/>
    <hyperlink ref="C73" r:id="rId72" tooltip="Africa" display="https://en.wikipedia.org/wiki/Africa" xr:uid="{00000000-0004-0000-2300-000047000000}"/>
    <hyperlink ref="C74" r:id="rId73" tooltip="French Guiana" display="https://en.wikipedia.org/wiki/French_Guiana" xr:uid="{00000000-0004-0000-2300-000048000000}"/>
    <hyperlink ref="C75" r:id="rId74" tooltip="Finland" display="https://en.wikipedia.org/wiki/Finland" xr:uid="{00000000-0004-0000-2300-000049000000}"/>
    <hyperlink ref="C76" r:id="rId75" tooltip="Fiji" display="https://en.wikipedia.org/wiki/Fiji" xr:uid="{00000000-0004-0000-2300-00004A000000}"/>
    <hyperlink ref="C77" r:id="rId76" tooltip="Falkland Islands" display="https://en.wikipedia.org/wiki/Falkland_Islands" xr:uid="{00000000-0004-0000-2300-00004B000000}"/>
    <hyperlink ref="C78" r:id="rId77" tooltip="Federated States of Micronesia" display="https://en.wikipedia.org/wiki/Federated_States_of_Micronesia" xr:uid="{00000000-0004-0000-2300-00004C000000}"/>
    <hyperlink ref="C79" r:id="rId78" tooltip="Faroe Islands" display="https://en.wikipedia.org/wiki/Faroe_Islands" xr:uid="{00000000-0004-0000-2300-00004D000000}"/>
    <hyperlink ref="C80" r:id="rId79" tooltip="French Polynesia" display="https://en.wikipedia.org/wiki/French_Polynesia" xr:uid="{00000000-0004-0000-2300-00004E000000}"/>
    <hyperlink ref="C81" r:id="rId80" tooltip="France" display="https://en.wikipedia.org/wiki/France" xr:uid="{00000000-0004-0000-2300-00004F000000}"/>
    <hyperlink ref="C82" r:id="rId81" tooltip="French Southern Territories" display="https://en.wikipedia.org/wiki/French_Southern_Territories" xr:uid="{00000000-0004-0000-2300-000050000000}"/>
    <hyperlink ref="C83" r:id="rId82" tooltip="Republic of Macedonia" display="https://en.wikipedia.org/wiki/Republic_of_Macedonia" xr:uid="{00000000-0004-0000-2300-000051000000}"/>
    <hyperlink ref="C84" r:id="rId83" tooltip="The Gambia" display="https://en.wikipedia.org/wiki/The_Gambia" xr:uid="{00000000-0004-0000-2300-000052000000}"/>
    <hyperlink ref="C85" r:id="rId84" tooltip="Gabon" display="https://en.wikipedia.org/wiki/Gabon" xr:uid="{00000000-0004-0000-2300-000053000000}"/>
    <hyperlink ref="C86" r:id="rId85" tooltip="East Germany" display="https://en.wikipedia.org/wiki/East_Germany" xr:uid="{00000000-0004-0000-2300-000054000000}"/>
    <hyperlink ref="C87" r:id="rId86" tooltip="Germany" display="https://en.wikipedia.org/wiki/Germany" xr:uid="{00000000-0004-0000-2300-000055000000}"/>
    <hyperlink ref="C88" r:id="rId87" tooltip="Georgia (country)" display="https://en.wikipedia.org/wiki/Georgia_(country)" xr:uid="{00000000-0004-0000-2300-000056000000}"/>
    <hyperlink ref="C89" r:id="rId88" tooltip="Ghana" display="https://en.wikipedia.org/wiki/Ghana" xr:uid="{00000000-0004-0000-2300-000057000000}"/>
    <hyperlink ref="C90" r:id="rId89" tooltip="Gibraltar" display="https://en.wikipedia.org/wiki/Gibraltar" xr:uid="{00000000-0004-0000-2300-000058000000}"/>
    <hyperlink ref="C91" r:id="rId90" tooltip="Grenada" display="https://en.wikipedia.org/wiki/Grenada" xr:uid="{00000000-0004-0000-2300-000059000000}"/>
    <hyperlink ref="C92" r:id="rId91" tooltip="Greenland" display="https://en.wikipedia.org/wiki/Greenland" xr:uid="{00000000-0004-0000-2300-00005A000000}"/>
    <hyperlink ref="C93" r:id="rId92" tooltip="Guadeloupe" display="https://en.wikipedia.org/wiki/Guadeloupe" xr:uid="{00000000-0004-0000-2300-00005B000000}"/>
    <hyperlink ref="C94" r:id="rId93" tooltip="Guam" display="https://en.wikipedia.org/wiki/Guam" xr:uid="{00000000-0004-0000-2300-00005C000000}"/>
    <hyperlink ref="C95" r:id="rId94" tooltip="Greece" display="https://en.wikipedia.org/wiki/Greece" xr:uid="{00000000-0004-0000-2300-00005D000000}"/>
    <hyperlink ref="C96" r:id="rId95" tooltip="Guatemala" display="https://en.wikipedia.org/wiki/Guatemala" xr:uid="{00000000-0004-0000-2300-00005E000000}"/>
    <hyperlink ref="C97" r:id="rId96" tooltip="Guinea" display="https://en.wikipedia.org/wiki/Guinea" xr:uid="{00000000-0004-0000-2300-00005F000000}"/>
    <hyperlink ref="C98" r:id="rId97" tooltip="Guyana" display="https://en.wikipedia.org/wiki/Guyana" xr:uid="{00000000-0004-0000-2300-000060000000}"/>
    <hyperlink ref="C99" r:id="rId98" tooltip="Haiti" display="https://en.wikipedia.org/wiki/Haiti" xr:uid="{00000000-0004-0000-2300-000061000000}"/>
    <hyperlink ref="C100" r:id="rId99" tooltip="Hong Kong" display="https://en.wikipedia.org/wiki/Hong_Kong" xr:uid="{00000000-0004-0000-2300-000062000000}"/>
    <hyperlink ref="C101" r:id="rId100" tooltip="Heard and McDonald Islands" display="https://en.wikipedia.org/wiki/Heard_and_McDonald_Islands" xr:uid="{00000000-0004-0000-2300-000063000000}"/>
    <hyperlink ref="C102" r:id="rId101" tooltip="Honduras" display="https://en.wikipedia.org/wiki/Honduras" xr:uid="{00000000-0004-0000-2300-000064000000}"/>
    <hyperlink ref="C103" r:id="rId102" tooltip="Howland Island" display="https://en.wikipedia.org/wiki/Howland_Island" xr:uid="{00000000-0004-0000-2300-000065000000}"/>
    <hyperlink ref="C104" r:id="rId103" tooltip="Croatia" display="https://en.wikipedia.org/wiki/Croatia" xr:uid="{00000000-0004-0000-2300-000066000000}"/>
    <hyperlink ref="C105" r:id="rId104" tooltip="Hungary" display="https://en.wikipedia.org/wiki/Hungary" xr:uid="{00000000-0004-0000-2300-000067000000}"/>
    <hyperlink ref="C106" r:id="rId105" tooltip="Iceland" display="https://en.wikipedia.org/wiki/Iceland" xr:uid="{00000000-0004-0000-2300-000068000000}"/>
    <hyperlink ref="C107" r:id="rId106" tooltip="Indonesia" display="https://en.wikipedia.org/wiki/Indonesia" xr:uid="{00000000-0004-0000-2300-000069000000}"/>
    <hyperlink ref="C108" r:id="rId107" tooltip="India" display="https://en.wikipedia.org/wiki/India" xr:uid="{00000000-0004-0000-2300-00006A000000}"/>
    <hyperlink ref="C109" r:id="rId108" tooltip="British Indian Ocean Territory" display="https://en.wikipedia.org/wiki/British_Indian_Ocean_Territory" xr:uid="{00000000-0004-0000-2300-00006B000000}"/>
    <hyperlink ref="C110" r:id="rId109" tooltip="U.S. Minor Outlying Islands" display="https://en.wikipedia.org/wiki/U.S._Minor_Outlying_Islands" xr:uid="{00000000-0004-0000-2300-00006C000000}"/>
    <hyperlink ref="C113" r:id="rId110" tooltip="Iran" display="https://en.wikipedia.org/wiki/Iran" xr:uid="{00000000-0004-0000-2300-00006D000000}"/>
    <hyperlink ref="C114" r:id="rId111" tooltip="Israel" display="https://en.wikipedia.org/wiki/Israel" xr:uid="{00000000-0004-0000-2300-00006E000000}"/>
    <hyperlink ref="C115" r:id="rId112" tooltip="Italy" display="https://en.wikipedia.org/wiki/Italy" xr:uid="{00000000-0004-0000-2300-00006F000000}"/>
    <hyperlink ref="C116" r:id="rId113" tooltip="Côte d'Ivoire" display="https://en.wikipedia.org/wiki/C%C3%B4te_d%27Ivoire" xr:uid="{00000000-0004-0000-2300-000070000000}"/>
    <hyperlink ref="C117" r:id="rId114" tooltip="Iraq" display="https://en.wikipedia.org/wiki/Iraq" xr:uid="{00000000-0004-0000-2300-000071000000}"/>
    <hyperlink ref="C118" r:id="rId115" tooltip="Japan" display="https://en.wikipedia.org/wiki/Japan" xr:uid="{00000000-0004-0000-2300-000072000000}"/>
    <hyperlink ref="C119" r:id="rId116" tooltip="Jamaica" display="https://en.wikipedia.org/wiki/Jamaica" xr:uid="{00000000-0004-0000-2300-000073000000}"/>
    <hyperlink ref="C120" r:id="rId117" tooltip="Jan Mayen Island" display="https://en.wikipedia.org/wiki/Jan_Mayen_Island" xr:uid="{00000000-0004-0000-2300-000074000000}"/>
    <hyperlink ref="C122" r:id="rId118" tooltip="Jordan" display="https://en.wikipedia.org/wiki/Jordan" xr:uid="{00000000-0004-0000-2300-000075000000}"/>
    <hyperlink ref="C123" r:id="rId119" tooltip="Johnston Atoll" display="https://en.wikipedia.org/wiki/Johnston_Atoll" xr:uid="{00000000-0004-0000-2300-000076000000}"/>
    <hyperlink ref="C124" r:id="rId120" tooltip="Kenya" display="https://en.wikipedia.org/wiki/Kenya" xr:uid="{00000000-0004-0000-2300-000077000000}"/>
    <hyperlink ref="C125" r:id="rId121" tooltip="Kyrgyzstan" display="https://en.wikipedia.org/wiki/Kyrgyzstan" xr:uid="{00000000-0004-0000-2300-000078000000}"/>
    <hyperlink ref="C126" r:id="rId122" tooltip="North Korea" display="https://en.wikipedia.org/wiki/North_Korea" xr:uid="{00000000-0004-0000-2300-000079000000}"/>
    <hyperlink ref="C127" r:id="rId123" tooltip="Kiribati" display="https://en.wikipedia.org/wiki/Kiribati" xr:uid="{00000000-0004-0000-2300-00007A000000}"/>
    <hyperlink ref="C128" r:id="rId124" tooltip="South Korea" display="https://en.wikipedia.org/wiki/South_Korea" xr:uid="{00000000-0004-0000-2300-00007B000000}"/>
    <hyperlink ref="C129" r:id="rId125" tooltip="Christmas Island" display="https://en.wikipedia.org/wiki/Christmas_Island" xr:uid="{00000000-0004-0000-2300-00007C000000}"/>
    <hyperlink ref="C130" r:id="rId126" tooltip="Kuwait" display="https://en.wikipedia.org/wiki/Kuwait" xr:uid="{00000000-0004-0000-2300-00007D000000}"/>
    <hyperlink ref="C131" r:id="rId127" tooltip="Kazakhstan" display="https://en.wikipedia.org/wiki/Kazakhstan" xr:uid="{00000000-0004-0000-2300-00007E000000}"/>
    <hyperlink ref="C132" r:id="rId128" tooltip="Lao People's Democratic Republic" display="https://en.wikipedia.org/wiki/Lao_People%27s_Democratic_Republic" xr:uid="{00000000-0004-0000-2300-00007F000000}"/>
    <hyperlink ref="C133" r:id="rId129" tooltip="Lebanon" display="https://en.wikipedia.org/wiki/Lebanon" xr:uid="{00000000-0004-0000-2300-000080000000}"/>
    <hyperlink ref="C134" r:id="rId130" tooltip="Latvia" display="https://en.wikipedia.org/wiki/Latvia" xr:uid="{00000000-0004-0000-2300-000081000000}"/>
    <hyperlink ref="C135" r:id="rId131" tooltip="Lithuania" display="https://en.wikipedia.org/wiki/Lithuania" xr:uid="{00000000-0004-0000-2300-000082000000}"/>
    <hyperlink ref="C136" r:id="rId132" tooltip="Liberia" display="https://en.wikipedia.org/wiki/Liberia" xr:uid="{00000000-0004-0000-2300-000083000000}"/>
    <hyperlink ref="C137" r:id="rId133" tooltip="Slovakia" display="https://en.wikipedia.org/wiki/Slovakia" xr:uid="{00000000-0004-0000-2300-000084000000}"/>
    <hyperlink ref="C138" r:id="rId134" tooltip="Liechtenstein" display="https://en.wikipedia.org/wiki/Liechtenstein" xr:uid="{00000000-0004-0000-2300-000085000000}"/>
    <hyperlink ref="C139" r:id="rId135" tooltip="Lesotho" display="https://en.wikipedia.org/wiki/Lesotho" xr:uid="{00000000-0004-0000-2300-000086000000}"/>
    <hyperlink ref="C140" r:id="rId136" tooltip="Luxembourg" display="https://en.wikipedia.org/wiki/Luxembourg" xr:uid="{00000000-0004-0000-2300-000087000000}"/>
    <hyperlink ref="C141" r:id="rId137" tooltip="Libyan Arab Jamahiriya" display="https://en.wikipedia.org/wiki/Libyan_Arab_Jamahiriya" xr:uid="{00000000-0004-0000-2300-000088000000}"/>
    <hyperlink ref="C142" r:id="rId138" tooltip="Madagascar" display="https://en.wikipedia.org/wiki/Madagascar" xr:uid="{00000000-0004-0000-2300-000089000000}"/>
    <hyperlink ref="C143" r:id="rId139" tooltip="Martinique" display="https://en.wikipedia.org/wiki/Martinique" xr:uid="{00000000-0004-0000-2300-00008A000000}"/>
    <hyperlink ref="C144" r:id="rId140" tooltip="Macau" display="https://en.wikipedia.org/wiki/Macau" xr:uid="{00000000-0004-0000-2300-00008B000000}"/>
    <hyperlink ref="C145" r:id="rId141" tooltip="Moldova" display="https://en.wikipedia.org/wiki/Moldova" xr:uid="{00000000-0004-0000-2300-00008C000000}"/>
    <hyperlink ref="C146" r:id="rId142" tooltip="Montenegro" display="https://en.wikipedia.org/wiki/Montenegro" xr:uid="{00000000-0004-0000-2300-00008D000000}"/>
    <hyperlink ref="C147" r:id="rId143" tooltip="Mongolia" display="https://en.wikipedia.org/wiki/Mongolia" xr:uid="{00000000-0004-0000-2300-00008E000000}"/>
    <hyperlink ref="C148" r:id="rId144" tooltip="Montserrat" display="https://en.wikipedia.org/wiki/Montserrat" xr:uid="{00000000-0004-0000-2300-00008F000000}"/>
    <hyperlink ref="C149" r:id="rId145" tooltip="Malawi" display="https://en.wikipedia.org/wiki/Malawi" xr:uid="{00000000-0004-0000-2300-000090000000}"/>
    <hyperlink ref="C150" r:id="rId146" tooltip="Mali" display="https://en.wikipedia.org/wiki/Mali" xr:uid="{00000000-0004-0000-2300-000091000000}"/>
    <hyperlink ref="C151" r:id="rId147" tooltip="Monaco" display="https://en.wikipedia.org/wiki/Monaco" xr:uid="{00000000-0004-0000-2300-000092000000}"/>
    <hyperlink ref="C152" r:id="rId148" tooltip="Morocco" display="https://en.wikipedia.org/wiki/Morocco" xr:uid="{00000000-0004-0000-2300-000093000000}"/>
    <hyperlink ref="C153" r:id="rId149" tooltip="Mauritius" display="https://en.wikipedia.org/wiki/Mauritius" xr:uid="{00000000-0004-0000-2300-000094000000}"/>
    <hyperlink ref="C154" r:id="rId150" tooltip="Mauritania" display="https://en.wikipedia.org/wiki/Mauritania" xr:uid="{00000000-0004-0000-2300-000095000000}"/>
    <hyperlink ref="C155" r:id="rId151" tooltip="Malta" display="https://en.wikipedia.org/wiki/Malta" xr:uid="{00000000-0004-0000-2300-000096000000}"/>
    <hyperlink ref="C156" r:id="rId152" tooltip="Oman" display="https://en.wikipedia.org/wiki/Oman" xr:uid="{00000000-0004-0000-2300-000097000000}"/>
    <hyperlink ref="C157" r:id="rId153" tooltip="Maldives" display="https://en.wikipedia.org/wiki/Maldives" xr:uid="{00000000-0004-0000-2300-000098000000}"/>
    <hyperlink ref="C158" r:id="rId154" tooltip="Mexico" display="https://en.wikipedia.org/wiki/Mexico" xr:uid="{00000000-0004-0000-2300-000099000000}"/>
    <hyperlink ref="C159" r:id="rId155" tooltip="Malaysia" display="https://en.wikipedia.org/wiki/Malaysia" xr:uid="{00000000-0004-0000-2300-00009A000000}"/>
    <hyperlink ref="C160" r:id="rId156" tooltip="Mozambique" display="https://en.wikipedia.org/wiki/Mozambique" xr:uid="{00000000-0004-0000-2300-00009B000000}"/>
    <hyperlink ref="C161" r:id="rId157" tooltip="Netherlands Antilles" display="https://en.wikipedia.org/wiki/Netherlands_Antilles" xr:uid="{00000000-0004-0000-2300-00009C000000}"/>
    <hyperlink ref="C162" r:id="rId158" tooltip="New Caledonia" display="https://en.wikipedia.org/wiki/New_Caledonia" xr:uid="{00000000-0004-0000-2300-00009D000000}"/>
    <hyperlink ref="C163" r:id="rId159" tooltip="Niue" display="https://en.wikipedia.org/wiki/Niue" xr:uid="{00000000-0004-0000-2300-00009E000000}"/>
    <hyperlink ref="C164" r:id="rId160" tooltip="Norfolk Island" display="https://en.wikipedia.org/wiki/Norfolk_Island" xr:uid="{00000000-0004-0000-2300-00009F000000}"/>
    <hyperlink ref="C165" r:id="rId161" tooltip="Niger" display="https://en.wikipedia.org/wiki/Niger" xr:uid="{00000000-0004-0000-2300-0000A0000000}"/>
    <hyperlink ref="C166" r:id="rId162" tooltip="Vanuatu" display="https://en.wikipedia.org/wiki/Vanuatu" xr:uid="{00000000-0004-0000-2300-0000A1000000}"/>
    <hyperlink ref="C167" r:id="rId163" tooltip="Nigeria" display="https://en.wikipedia.org/wiki/Nigeria" xr:uid="{00000000-0004-0000-2300-0000A2000000}"/>
    <hyperlink ref="C168" r:id="rId164" tooltip="Netherlands" display="https://en.wikipedia.org/wiki/Netherlands" xr:uid="{00000000-0004-0000-2300-0000A3000000}"/>
    <hyperlink ref="C169" r:id="rId165" tooltip="North America" display="https://en.wikipedia.org/wiki/North_America" xr:uid="{00000000-0004-0000-2300-0000A4000000}"/>
    <hyperlink ref="C170" r:id="rId166" tooltip="Norway" display="https://en.wikipedia.org/wiki/Norway" xr:uid="{00000000-0004-0000-2300-0000A5000000}"/>
    <hyperlink ref="C171" r:id="rId167" tooltip="Nepal" display="https://en.wikipedia.org/wiki/Nepal" xr:uid="{00000000-0004-0000-2300-0000A6000000}"/>
    <hyperlink ref="C172" r:id="rId168" tooltip="Nauru" display="https://en.wikipedia.org/wiki/Nauru" xr:uid="{00000000-0004-0000-2300-0000A7000000}"/>
    <hyperlink ref="C173" r:id="rId169" tooltip="Suriname" display="https://en.wikipedia.org/wiki/Suriname" xr:uid="{00000000-0004-0000-2300-0000A8000000}"/>
    <hyperlink ref="C175" r:id="rId170" tooltip="Nicaragua" display="https://en.wikipedia.org/wiki/Nicaragua" xr:uid="{00000000-0004-0000-2300-0000A9000000}"/>
    <hyperlink ref="C176" r:id="rId171" tooltip="New Zealand" display="https://en.wikipedia.org/wiki/New_Zealand" xr:uid="{00000000-0004-0000-2300-0000AA000000}"/>
    <hyperlink ref="C177" r:id="rId172" tooltip="Paraguay" display="https://en.wikipedia.org/wiki/Paraguay" xr:uid="{00000000-0004-0000-2300-0000AB000000}"/>
    <hyperlink ref="C178" r:id="rId173" tooltip="Pitcairn Islands" display="https://en.wikipedia.org/wiki/Pitcairn_Islands" xr:uid="{00000000-0004-0000-2300-0000AC000000}"/>
    <hyperlink ref="C179" r:id="rId174" tooltip="Peru" display="https://en.wikipedia.org/wiki/Peru" xr:uid="{00000000-0004-0000-2300-0000AD000000}"/>
    <hyperlink ref="C180" r:id="rId175" tooltip="Paracel Islands" display="https://en.wikipedia.org/wiki/Paracel_Islands" xr:uid="{00000000-0004-0000-2300-0000AE000000}"/>
    <hyperlink ref="C181" r:id="rId176" tooltip="Pakistan" display="https://en.wikipedia.org/wiki/Pakistan" xr:uid="{00000000-0004-0000-2300-0000AF000000}"/>
    <hyperlink ref="C182" r:id="rId177" tooltip="Poland" display="https://en.wikipedia.org/wiki/Poland" xr:uid="{00000000-0004-0000-2300-0000B0000000}"/>
    <hyperlink ref="C183" r:id="rId178" tooltip="Panama" display="https://en.wikipedia.org/wiki/Panama" xr:uid="{00000000-0004-0000-2300-0000B1000000}"/>
    <hyperlink ref="C184" r:id="rId179" tooltip="Portugal" display="https://en.wikipedia.org/wiki/Portugal" xr:uid="{00000000-0004-0000-2300-0000B2000000}"/>
    <hyperlink ref="C185" r:id="rId180" tooltip="Papua New Guinea" display="https://en.wikipedia.org/wiki/Papua_New_Guinea" xr:uid="{00000000-0004-0000-2300-0000B3000000}"/>
    <hyperlink ref="C186" r:id="rId181" tooltip="Palau" display="https://en.wikipedia.org/wiki/Palau" xr:uid="{00000000-0004-0000-2300-0000B4000000}"/>
    <hyperlink ref="C187" r:id="rId182" tooltip="Palestinian territories" display="https://en.wikipedia.org/wiki/Palestinian_territories" xr:uid="{00000000-0004-0000-2300-0000B5000000}"/>
    <hyperlink ref="C189" r:id="rId183" tooltip="Guinea-Bissau" display="https://en.wikipedia.org/wiki/Guinea-Bissau" xr:uid="{00000000-0004-0000-2300-0000B6000000}"/>
    <hyperlink ref="C190" r:id="rId184" tooltip="Qatar" display="https://en.wikipedia.org/wiki/Qatar" xr:uid="{00000000-0004-0000-2300-0000B7000000}"/>
    <hyperlink ref="C191" r:id="rId185" tooltip="Réunion" display="https://en.wikipedia.org/wiki/R%C3%A9union" xr:uid="{00000000-0004-0000-2300-0000B8000000}"/>
    <hyperlink ref="C192" r:id="rId186" tooltip="Marshall Islands" display="https://en.wikipedia.org/wiki/Marshall_Islands" xr:uid="{00000000-0004-0000-2300-0000B9000000}"/>
    <hyperlink ref="C193" r:id="rId187" tooltip="Romania" display="https://en.wikipedia.org/wiki/Romania" xr:uid="{00000000-0004-0000-2300-0000BA000000}"/>
    <hyperlink ref="C194" r:id="rId188" tooltip="Philippines" display="https://en.wikipedia.org/wiki/Philippines" xr:uid="{00000000-0004-0000-2300-0000BB000000}"/>
    <hyperlink ref="C195" r:id="rId189" tooltip="Puerto Rico" display="https://en.wikipedia.org/wiki/Puerto_Rico" xr:uid="{00000000-0004-0000-2300-0000BC000000}"/>
    <hyperlink ref="C196" r:id="rId190" tooltip="Serbia" display="https://en.wikipedia.org/wiki/Serbia" xr:uid="{00000000-0004-0000-2300-0000BD000000}"/>
    <hyperlink ref="C197" r:id="rId191" tooltip="Russia" display="https://en.wikipedia.org/wiki/Russia" xr:uid="{00000000-0004-0000-2300-0000BE000000}"/>
    <hyperlink ref="C198" r:id="rId192" tooltip="Rwanda" display="https://en.wikipedia.org/wiki/Rwanda" xr:uid="{00000000-0004-0000-2300-0000BF000000}"/>
    <hyperlink ref="C199" r:id="rId193" tooltip="Saudi Arabia" display="https://en.wikipedia.org/wiki/Saudi_Arabia" xr:uid="{00000000-0004-0000-2300-0000C0000000}"/>
    <hyperlink ref="C200" r:id="rId194" tooltip="Saint Pierre and Miquelon" display="https://en.wikipedia.org/wiki/Saint_Pierre_and_Miquelon" xr:uid="{00000000-0004-0000-2300-0000C1000000}"/>
    <hyperlink ref="C202" r:id="rId195" tooltip="Saint Kitts and Nevis" display="https://en.wikipedia.org/wiki/Saint_Kitts_and_Nevis" xr:uid="{00000000-0004-0000-2300-0000C2000000}"/>
    <hyperlink ref="C203" r:id="rId196" tooltip="Seychelles" display="https://en.wikipedia.org/wiki/Seychelles" xr:uid="{00000000-0004-0000-2300-0000C3000000}"/>
    <hyperlink ref="C204" r:id="rId197" tooltip="South Africa" display="https://en.wikipedia.org/wiki/South_Africa" xr:uid="{00000000-0004-0000-2300-0000C4000000}"/>
    <hyperlink ref="C205" r:id="rId198" tooltip="Senegal" display="https://en.wikipedia.org/wiki/Senegal" xr:uid="{00000000-0004-0000-2300-0000C5000000}"/>
    <hyperlink ref="C206" r:id="rId199" tooltip="Saint Helena" display="https://en.wikipedia.org/wiki/Saint_Helena" xr:uid="{00000000-0004-0000-2300-0000C6000000}"/>
    <hyperlink ref="C207" r:id="rId200" tooltip="Slovenia" display="https://en.wikipedia.org/wiki/Slovenia" xr:uid="{00000000-0004-0000-2300-0000C7000000}"/>
    <hyperlink ref="C208" r:id="rId201" tooltip="Svalbard and Jan Mayen Islands" display="https://en.wikipedia.org/wiki/Svalbard_and_Jan_Mayen_Islands" xr:uid="{00000000-0004-0000-2300-0000C8000000}"/>
    <hyperlink ref="C209" r:id="rId202" tooltip="Sierra Leone" display="https://en.wikipedia.org/wiki/Sierra_Leone" xr:uid="{00000000-0004-0000-2300-0000C9000000}"/>
    <hyperlink ref="C210" r:id="rId203" tooltip="San Marino" display="https://en.wikipedia.org/wiki/San_Marino" xr:uid="{00000000-0004-0000-2300-0000CA000000}"/>
    <hyperlink ref="C211" r:id="rId204" tooltip="Singapore" display="https://en.wikipedia.org/wiki/Singapore" xr:uid="{00000000-0004-0000-2300-0000CB000000}"/>
    <hyperlink ref="C212" r:id="rId205" tooltip="Somalia" display="https://en.wikipedia.org/wiki/Somalia" xr:uid="{00000000-0004-0000-2300-0000CC000000}"/>
    <hyperlink ref="C213" r:id="rId206" tooltip="South America" display="https://en.wikipedia.org/wiki/South_America" xr:uid="{00000000-0004-0000-2300-0000CD000000}"/>
    <hyperlink ref="C214" r:id="rId207" tooltip="American Samoa" display="https://en.wikipedia.org/wiki/American_Samoa" xr:uid="{00000000-0004-0000-2300-0000CE000000}"/>
    <hyperlink ref="C215" r:id="rId208" tooltip="Samoa" display="https://en.wikipedia.org/wiki/Samoa" xr:uid="{00000000-0004-0000-2300-0000CF000000}"/>
    <hyperlink ref="C217" r:id="rId209" tooltip="Saint Lucia" display="https://en.wikipedia.org/wiki/Saint_Lucia" xr:uid="{00000000-0004-0000-2300-0000D0000000}"/>
    <hyperlink ref="C218" r:id="rId210" tooltip="Sudan" display="https://en.wikipedia.org/wiki/Sudan" xr:uid="{00000000-0004-0000-2300-0000D1000000}"/>
    <hyperlink ref="C219" r:id="rId211" tooltip="El Salvador" display="https://en.wikipedia.org/wiki/El_Salvador" xr:uid="{00000000-0004-0000-2300-0000D2000000}"/>
    <hyperlink ref="C220" r:id="rId212" tooltip="Sweden" display="https://en.wikipedia.org/wiki/Sweden" xr:uid="{00000000-0004-0000-2300-0000D3000000}"/>
    <hyperlink ref="C221" r:id="rId213" tooltip="South Georgia and South Sandwich Islands" display="https://en.wikipedia.org/wiki/South_Georgia_and_South_Sandwich_Islands" xr:uid="{00000000-0004-0000-2300-0000D4000000}"/>
    <hyperlink ref="C222" r:id="rId214" tooltip="Syrian Arab Republic" display="https://en.wikipedia.org/wiki/Syrian_Arab_Republic" xr:uid="{00000000-0004-0000-2300-0000D5000000}"/>
    <hyperlink ref="C223" r:id="rId215" tooltip="Switzerland" display="https://en.wikipedia.org/wiki/Switzerland" xr:uid="{00000000-0004-0000-2300-0000D6000000}"/>
    <hyperlink ref="C224" r:id="rId216" tooltip="United Arab Emirates" display="https://en.wikipedia.org/wiki/United_Arab_Emirates" xr:uid="{00000000-0004-0000-2300-0000D7000000}"/>
    <hyperlink ref="C225" r:id="rId217" tooltip="Trinidad and Tobago" display="https://en.wikipedia.org/wiki/Trinidad_and_Tobago" xr:uid="{00000000-0004-0000-2300-0000D8000000}"/>
    <hyperlink ref="C226" r:id="rId218" tooltip="Thailand" display="https://en.wikipedia.org/wiki/Thailand" xr:uid="{00000000-0004-0000-2300-0000D9000000}"/>
    <hyperlink ref="C227" r:id="rId219" tooltip="Tajikistan" display="https://en.wikipedia.org/wiki/Tajikistan" xr:uid="{00000000-0004-0000-2300-0000DA000000}"/>
    <hyperlink ref="C228" r:id="rId220" tooltip="Turks and Caicos Islands" display="https://en.wikipedia.org/wiki/Turks_and_Caicos_Islands" xr:uid="{00000000-0004-0000-2300-0000DB000000}"/>
    <hyperlink ref="C229" r:id="rId221" tooltip="Tokelau" display="https://en.wikipedia.org/wiki/Tokelau" xr:uid="{00000000-0004-0000-2300-0000DC000000}"/>
    <hyperlink ref="C230" r:id="rId222" tooltip="East Timor" display="https://en.wikipedia.org/wiki/East_Timor" xr:uid="{00000000-0004-0000-2300-0000DD000000}"/>
    <hyperlink ref="C231" r:id="rId223" tooltip="Tonga" display="https://en.wikipedia.org/wiki/Tonga" xr:uid="{00000000-0004-0000-2300-0000DE000000}"/>
    <hyperlink ref="C232" r:id="rId224" tooltip="Togo" display="https://en.wikipedia.org/wiki/Togo" xr:uid="{00000000-0004-0000-2300-0000DF000000}"/>
    <hyperlink ref="C233" r:id="rId225" tooltip="São Tomé and Príncipe" display="https://en.wikipedia.org/wiki/S%C3%A3o_Tom%C3%A9_and_Pr%C3%ADncipe" xr:uid="{00000000-0004-0000-2300-0000E0000000}"/>
    <hyperlink ref="C234" r:id="rId226" tooltip="Tunisia" display="https://en.wikipedia.org/wiki/Tunisia" xr:uid="{00000000-0004-0000-2300-0000E1000000}"/>
    <hyperlink ref="C235" r:id="rId227" tooltip="Turkey (country)" display="https://en.wikipedia.org/wiki/Turkey_(country)" xr:uid="{00000000-0004-0000-2300-0000E2000000}"/>
    <hyperlink ref="C236" r:id="rId228" tooltip="Tuvalu" display="https://en.wikipedia.org/wiki/Tuvalu" xr:uid="{00000000-0004-0000-2300-0000E3000000}"/>
    <hyperlink ref="C237" r:id="rId229" tooltip="Republic of China" display="https://en.wikipedia.org/wiki/Republic_of_China" xr:uid="{00000000-0004-0000-2300-0000E4000000}"/>
    <hyperlink ref="C238" r:id="rId230" tooltip="Turkmenistan" display="https://en.wikipedia.org/wiki/Turkmenistan" xr:uid="{00000000-0004-0000-2300-0000E5000000}"/>
    <hyperlink ref="C239" r:id="rId231" tooltip="Tanzania" display="https://en.wikipedia.org/wiki/Tanzania" xr:uid="{00000000-0004-0000-2300-0000E6000000}"/>
    <hyperlink ref="C240" r:id="rId232" tooltip="Uganda" display="https://en.wikipedia.org/wiki/Uganda" xr:uid="{00000000-0004-0000-2300-0000E7000000}"/>
    <hyperlink ref="C242" r:id="rId233" tooltip="Ukraine" display="https://en.wikipedia.org/wiki/Ukraine" xr:uid="{00000000-0004-0000-2300-0000E8000000}"/>
    <hyperlink ref="C243" r:id="rId234" tooltip="Union of Soviet Socialist Republics" display="https://en.wikipedia.org/wiki/Union_of_Soviet_Socialist_Republics" xr:uid="{00000000-0004-0000-2300-0000E9000000}"/>
    <hyperlink ref="C244" r:id="rId235" tooltip="United States of America" display="https://en.wikipedia.org/wiki/United_States_of_America" xr:uid="{00000000-0004-0000-2300-0000EA000000}"/>
    <hyperlink ref="C245" r:id="rId236" tooltip="Oceania" display="https://en.wikipedia.org/wiki/Oceania" xr:uid="{00000000-0004-0000-2300-0000EB000000}"/>
    <hyperlink ref="C246" r:id="rId237" tooltip="Burkina Faso" display="https://en.wikipedia.org/wiki/Burkina_Faso" xr:uid="{00000000-0004-0000-2300-0000EC000000}"/>
    <hyperlink ref="C247" r:id="rId238" tooltip="Uruguay" display="https://en.wikipedia.org/wiki/Uruguay" xr:uid="{00000000-0004-0000-2300-0000ED000000}"/>
    <hyperlink ref="C248" r:id="rId239" tooltip="Uzbekistan" display="https://en.wikipedia.org/wiki/Uzbekistan" xr:uid="{00000000-0004-0000-2300-0000EE000000}"/>
    <hyperlink ref="C249" r:id="rId240" tooltip="Saint Vincent and the Grenadines" display="https://en.wikipedia.org/wiki/Saint_Vincent_and_the_Grenadines" xr:uid="{00000000-0004-0000-2300-0000EF000000}"/>
    <hyperlink ref="C250" r:id="rId241" tooltip="Venezuela" display="https://en.wikipedia.org/wiki/Venezuela" xr:uid="{00000000-0004-0000-2300-0000F0000000}"/>
    <hyperlink ref="C251" r:id="rId242" tooltip="U.S. Virgin Islands" display="https://en.wikipedia.org/wiki/U.S._Virgin_Islands" xr:uid="{00000000-0004-0000-2300-0000F1000000}"/>
    <hyperlink ref="C253" r:id="rId243" tooltip="Vietnam" display="https://en.wikipedia.org/wiki/Vietnam" xr:uid="{00000000-0004-0000-2300-0000F2000000}"/>
    <hyperlink ref="C254" r:id="rId244" tooltip="British Virgin Islands" display="https://en.wikipedia.org/wiki/British_Virgin_Islands" xr:uid="{00000000-0004-0000-2300-0000F3000000}"/>
    <hyperlink ref="C255" r:id="rId245" tooltip="Vatican City" display="https://en.wikipedia.org/wiki/Vatican_City" xr:uid="{00000000-0004-0000-2300-0000F4000000}"/>
    <hyperlink ref="C256" r:id="rId246" tooltip="Namibia" display="https://en.wikipedia.org/wiki/Namibia" xr:uid="{00000000-0004-0000-2300-0000F5000000}"/>
    <hyperlink ref="C257" r:id="rId247" tooltip="Wallis and Futuna Islands" display="https://en.wikipedia.org/wiki/Wallis_and_Futuna_Islands" xr:uid="{00000000-0004-0000-2300-0000F6000000}"/>
    <hyperlink ref="C258" r:id="rId248" tooltip="Western Sahara" display="https://en.wikipedia.org/wiki/Western_Sahara" xr:uid="{00000000-0004-0000-2300-0000F7000000}"/>
    <hyperlink ref="C259" r:id="rId249" tooltip="Swaziland" display="https://en.wikipedia.org/wiki/Swaziland" xr:uid="{00000000-0004-0000-2300-0000F8000000}"/>
    <hyperlink ref="C261" r:id="rId250" tooltip="Supreme Headquarters Allied Powers Europe" display="https://en.wikipedia.org/wiki/Supreme_Headquarters_Allied_Powers_Europe" xr:uid="{00000000-0004-0000-2300-0000F9000000}"/>
    <hyperlink ref="C269" r:id="rId251" tooltip="SACLANT" display="https://en.wikipedia.org/wiki/SACLANT" xr:uid="{00000000-0004-0000-2300-0000FA000000}"/>
    <hyperlink ref="C272" r:id="rId252" tooltip="Yemen" display="https://en.wikipedia.org/wiki/Yemen" xr:uid="{00000000-0004-0000-2300-0000FB000000}"/>
    <hyperlink ref="C273" r:id="rId253" tooltip="Socialist Federal Republic of Yugoslavia" display="https://en.wikipedia.org/wiki/Socialist_Federal_Republic_of_Yugoslavia" xr:uid="{00000000-0004-0000-2300-0000FC000000}"/>
    <hyperlink ref="C274" r:id="rId254" tooltip="Mayotte" display="https://en.wikipedia.org/wiki/Mayotte" xr:uid="{00000000-0004-0000-2300-0000FD000000}"/>
    <hyperlink ref="C277" r:id="rId255" tooltip="Serbia and Montenegro" display="https://en.wikipedia.org/wiki/Serbia_and_Montenegro" xr:uid="{00000000-0004-0000-2300-0000FE000000}"/>
    <hyperlink ref="C279" r:id="rId256" tooltip="Federal Republic of Yugoslavia" display="https://en.wikipedia.org/wiki/Federal_Republic_of_Yugoslavia" xr:uid="{00000000-0004-0000-2300-0000FF000000}"/>
    <hyperlink ref="C280" r:id="rId257" tooltip="Zambia" display="https://en.wikipedia.org/wiki/Zambia" xr:uid="{00000000-0004-0000-2300-000000010000}"/>
  </hyperlinks>
  <pageMargins left="0.7" right="0.7" top="0.75" bottom="0.75" header="0.3" footer="0.3"/>
  <pageSetup orientation="portrait" r:id="rId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7FFC-45BC-4B5A-A9E8-567491FF95E8}">
  <dimension ref="A1:O45"/>
  <sheetViews>
    <sheetView workbookViewId="0">
      <selection activeCell="R26" sqref="R26"/>
    </sheetView>
  </sheetViews>
  <sheetFormatPr defaultRowHeight="15" x14ac:dyDescent="0.25"/>
  <cols>
    <col min="1" max="1" width="1.7109375" style="263" customWidth="1"/>
    <col min="2" max="2" width="15.7109375" style="3" customWidth="1"/>
    <col min="3" max="16384" width="9.140625" style="263"/>
  </cols>
  <sheetData>
    <row r="1" spans="1:15" ht="7.5" customHeight="1" thickBot="1" x14ac:dyDescent="0.3">
      <c r="A1" s="55"/>
      <c r="B1" s="9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3.5" customHeight="1" thickBot="1" x14ac:dyDescent="0.3">
      <c r="A2" s="55"/>
      <c r="B2" s="214" t="s">
        <v>125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15" s="53" customFormat="1" ht="13.5" customHeight="1" thickBot="1" x14ac:dyDescent="0.3">
      <c r="A3" s="49"/>
      <c r="B3" s="217"/>
      <c r="C3" s="51" t="s">
        <v>19</v>
      </c>
      <c r="D3" s="51" t="s">
        <v>20</v>
      </c>
      <c r="E3" s="51" t="s">
        <v>21</v>
      </c>
      <c r="F3" s="51" t="s">
        <v>22</v>
      </c>
      <c r="G3" s="51" t="s">
        <v>23</v>
      </c>
      <c r="H3" s="51" t="s">
        <v>24</v>
      </c>
      <c r="I3" s="51" t="s">
        <v>25</v>
      </c>
      <c r="J3" s="51" t="s">
        <v>26</v>
      </c>
      <c r="K3" s="51" t="s">
        <v>27</v>
      </c>
      <c r="L3" s="51" t="s">
        <v>28</v>
      </c>
      <c r="M3" s="51" t="s">
        <v>29</v>
      </c>
      <c r="N3" s="51" t="s">
        <v>30</v>
      </c>
      <c r="O3" s="218" t="s">
        <v>40</v>
      </c>
    </row>
    <row r="4" spans="1:15" s="53" customFormat="1" ht="13.5" customHeight="1" thickBot="1" x14ac:dyDescent="0.3">
      <c r="A4" s="49"/>
      <c r="B4" s="219"/>
      <c r="C4" s="51">
        <v>10</v>
      </c>
      <c r="D4" s="51">
        <v>11</v>
      </c>
      <c r="E4" s="51">
        <v>12</v>
      </c>
      <c r="F4" s="51">
        <v>1</v>
      </c>
      <c r="G4" s="51">
        <v>2</v>
      </c>
      <c r="H4" s="51">
        <v>3</v>
      </c>
      <c r="I4" s="51">
        <v>4</v>
      </c>
      <c r="J4" s="51">
        <v>5</v>
      </c>
      <c r="K4" s="51">
        <v>6</v>
      </c>
      <c r="L4" s="51">
        <v>7</v>
      </c>
      <c r="M4" s="51">
        <v>8</v>
      </c>
      <c r="N4" s="51">
        <v>9</v>
      </c>
      <c r="O4" s="220"/>
    </row>
    <row r="5" spans="1:15" s="53" customFormat="1" ht="13.5" customHeight="1" thickBot="1" x14ac:dyDescent="0.3">
      <c r="A5" s="49"/>
      <c r="B5" s="221" t="s">
        <v>17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3"/>
    </row>
    <row r="6" spans="1:15" ht="15.75" thickBot="1" x14ac:dyDescent="0.3">
      <c r="A6" s="55"/>
      <c r="B6" s="30" t="str">
        <f>[1]Master!R6</f>
        <v>ALLEGHENY</v>
      </c>
      <c r="C6" s="252">
        <v>87</v>
      </c>
      <c r="D6" s="252">
        <v>66</v>
      </c>
      <c r="E6" s="252">
        <v>48</v>
      </c>
      <c r="F6" s="252">
        <v>49</v>
      </c>
      <c r="G6" s="252">
        <v>11</v>
      </c>
      <c r="H6" s="252">
        <v>20</v>
      </c>
      <c r="I6" s="252">
        <v>18</v>
      </c>
      <c r="J6" s="252">
        <v>41</v>
      </c>
      <c r="K6" s="252">
        <v>43</v>
      </c>
      <c r="L6" s="252">
        <v>9</v>
      </c>
      <c r="M6" s="252">
        <v>18</v>
      </c>
      <c r="N6" s="252">
        <v>38</v>
      </c>
      <c r="O6" s="252">
        <f>SUM(C6:N6)</f>
        <v>448</v>
      </c>
    </row>
    <row r="7" spans="1:15" ht="15.75" thickBot="1" x14ac:dyDescent="0.3">
      <c r="A7" s="55"/>
      <c r="B7" s="30" t="str">
        <f>[1]Master!R7</f>
        <v>BEAVER</v>
      </c>
      <c r="C7" s="252">
        <v>0</v>
      </c>
      <c r="D7" s="252">
        <v>0</v>
      </c>
      <c r="E7" s="252">
        <v>0</v>
      </c>
      <c r="F7" s="252">
        <v>0</v>
      </c>
      <c r="G7" s="252">
        <v>0</v>
      </c>
      <c r="H7" s="252">
        <v>0</v>
      </c>
      <c r="I7" s="252">
        <v>0</v>
      </c>
      <c r="J7" s="252">
        <v>0</v>
      </c>
      <c r="K7" s="252">
        <v>0</v>
      </c>
      <c r="L7" s="252">
        <v>0</v>
      </c>
      <c r="M7" s="252">
        <v>0</v>
      </c>
      <c r="N7" s="252">
        <v>0</v>
      </c>
      <c r="O7" s="252">
        <f>SUM(C7:N7)</f>
        <v>0</v>
      </c>
    </row>
    <row r="8" spans="1:15" ht="15.75" thickBot="1" x14ac:dyDescent="0.3">
      <c r="A8" s="55"/>
      <c r="B8" s="30" t="str">
        <f>[1]Master!R8</f>
        <v>INDIANA</v>
      </c>
      <c r="C8" s="252">
        <v>0</v>
      </c>
      <c r="D8" s="252">
        <v>0</v>
      </c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252">
        <v>0</v>
      </c>
      <c r="K8" s="252">
        <v>0</v>
      </c>
      <c r="L8" s="252">
        <v>3</v>
      </c>
      <c r="M8" s="252">
        <v>0</v>
      </c>
      <c r="N8" s="252">
        <v>0</v>
      </c>
      <c r="O8" s="252">
        <f>SUM(C8:N8)</f>
        <v>3</v>
      </c>
    </row>
    <row r="9" spans="1:15" ht="15.75" thickBot="1" x14ac:dyDescent="0.3">
      <c r="A9" s="55"/>
      <c r="B9" s="30" t="str">
        <f>[1]Master!R9</f>
        <v>WASHINGTON</v>
      </c>
      <c r="C9" s="252">
        <v>6</v>
      </c>
      <c r="D9" s="252">
        <v>0</v>
      </c>
      <c r="E9" s="252">
        <v>0</v>
      </c>
      <c r="F9" s="252">
        <v>0</v>
      </c>
      <c r="G9" s="252">
        <v>0</v>
      </c>
      <c r="H9" s="252">
        <v>0</v>
      </c>
      <c r="I9" s="252">
        <v>0</v>
      </c>
      <c r="J9" s="252">
        <v>0</v>
      </c>
      <c r="K9" s="252">
        <v>0</v>
      </c>
      <c r="L9" s="252">
        <v>0</v>
      </c>
      <c r="M9" s="252">
        <v>0</v>
      </c>
      <c r="N9" s="252">
        <v>0</v>
      </c>
      <c r="O9" s="252">
        <f>SUM(C9:N9)</f>
        <v>6</v>
      </c>
    </row>
    <row r="10" spans="1:15" ht="15.75" thickBot="1" x14ac:dyDescent="0.3">
      <c r="A10" s="55"/>
      <c r="B10" s="35" t="s">
        <v>40</v>
      </c>
      <c r="C10" s="250">
        <v>93</v>
      </c>
      <c r="D10" s="250">
        <v>66</v>
      </c>
      <c r="E10" s="250">
        <v>48</v>
      </c>
      <c r="F10" s="250">
        <v>49</v>
      </c>
      <c r="G10" s="250">
        <v>11</v>
      </c>
      <c r="H10" s="250">
        <v>20</v>
      </c>
      <c r="I10" s="250">
        <v>18</v>
      </c>
      <c r="J10" s="250">
        <v>41</v>
      </c>
      <c r="K10" s="250">
        <v>43</v>
      </c>
      <c r="L10" s="250">
        <v>12</v>
      </c>
      <c r="M10" s="250">
        <v>18</v>
      </c>
      <c r="N10" s="250">
        <v>38</v>
      </c>
      <c r="O10" s="250">
        <f>SUM(O6:O9)</f>
        <v>457</v>
      </c>
    </row>
    <row r="11" spans="1:15" ht="13.5" customHeight="1" thickBot="1" x14ac:dyDescent="0.3">
      <c r="A11" s="55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55"/>
    </row>
    <row r="12" spans="1:15" ht="15.75" thickBot="1" x14ac:dyDescent="0.3">
      <c r="A12" s="55"/>
      <c r="B12" s="225" t="s">
        <v>32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7"/>
    </row>
    <row r="13" spans="1:15" ht="15.75" thickBot="1" x14ac:dyDescent="0.3">
      <c r="A13" s="55"/>
      <c r="B13" s="31" t="str">
        <f>[1]Master!R12</f>
        <v>ADAMS</v>
      </c>
      <c r="C13" s="252">
        <v>0</v>
      </c>
      <c r="D13" s="252">
        <v>0</v>
      </c>
      <c r="E13" s="252">
        <v>0</v>
      </c>
      <c r="F13" s="252">
        <v>1</v>
      </c>
      <c r="G13" s="252">
        <v>0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252">
        <f t="shared" ref="O13:O21" si="0">SUM(C13:N13)</f>
        <v>1</v>
      </c>
    </row>
    <row r="14" spans="1:15" ht="15.75" thickBot="1" x14ac:dyDescent="0.3">
      <c r="A14" s="55"/>
      <c r="B14" s="31" t="str">
        <f>[1]Master!R13</f>
        <v>DAUPHIN</v>
      </c>
      <c r="C14" s="252">
        <v>35</v>
      </c>
      <c r="D14" s="252">
        <v>14</v>
      </c>
      <c r="E14" s="252">
        <v>29</v>
      </c>
      <c r="F14" s="252">
        <v>18</v>
      </c>
      <c r="G14" s="252">
        <v>9</v>
      </c>
      <c r="H14" s="252">
        <v>4</v>
      </c>
      <c r="I14" s="252">
        <v>8</v>
      </c>
      <c r="J14" s="252">
        <v>12</v>
      </c>
      <c r="K14" s="252">
        <v>5</v>
      </c>
      <c r="L14" s="252">
        <v>0</v>
      </c>
      <c r="M14" s="252">
        <v>1</v>
      </c>
      <c r="N14" s="252">
        <v>24</v>
      </c>
      <c r="O14" s="252">
        <f t="shared" si="0"/>
        <v>159</v>
      </c>
    </row>
    <row r="15" spans="1:15" ht="15.75" thickBot="1" x14ac:dyDescent="0.3">
      <c r="A15" s="55"/>
      <c r="B15" s="31" t="str">
        <f>[1]Master!R14</f>
        <v>CENTRE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52">
        <v>0</v>
      </c>
      <c r="N15" s="252">
        <v>0</v>
      </c>
      <c r="O15" s="252">
        <f t="shared" si="0"/>
        <v>0</v>
      </c>
    </row>
    <row r="16" spans="1:15" ht="15.75" thickBot="1" x14ac:dyDescent="0.3">
      <c r="A16" s="55"/>
      <c r="B16" s="31" t="str">
        <f>[1]Master!R15</f>
        <v>CUMBERLAND</v>
      </c>
      <c r="C16" s="252">
        <v>3</v>
      </c>
      <c r="D16" s="252">
        <v>7</v>
      </c>
      <c r="E16" s="252">
        <v>11</v>
      </c>
      <c r="F16" s="252">
        <v>4</v>
      </c>
      <c r="G16" s="252">
        <v>8</v>
      </c>
      <c r="H16" s="252">
        <v>5</v>
      </c>
      <c r="I16" s="252">
        <v>5</v>
      </c>
      <c r="J16" s="252">
        <v>6</v>
      </c>
      <c r="K16" s="252">
        <v>3</v>
      </c>
      <c r="L16" s="252">
        <v>1</v>
      </c>
      <c r="M16" s="252">
        <v>1</v>
      </c>
      <c r="N16" s="252">
        <v>15</v>
      </c>
      <c r="O16" s="252">
        <f t="shared" si="0"/>
        <v>69</v>
      </c>
    </row>
    <row r="17" spans="1:15" ht="15.75" thickBot="1" x14ac:dyDescent="0.3">
      <c r="A17" s="55"/>
      <c r="B17" s="31" t="str">
        <f>[1]Master!R16</f>
        <v>FRANKLIN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f t="shared" si="0"/>
        <v>0</v>
      </c>
    </row>
    <row r="18" spans="1:15" ht="15.75" thickBot="1" x14ac:dyDescent="0.3">
      <c r="A18" s="55"/>
      <c r="B18" s="31" t="str">
        <f>[1]Master!R17</f>
        <v>LANCASTER</v>
      </c>
      <c r="C18" s="252">
        <v>56</v>
      </c>
      <c r="D18" s="252">
        <v>92</v>
      </c>
      <c r="E18" s="252">
        <v>88</v>
      </c>
      <c r="F18" s="252">
        <v>50</v>
      </c>
      <c r="G18" s="252">
        <v>50</v>
      </c>
      <c r="H18" s="252">
        <v>40</v>
      </c>
      <c r="I18" s="252">
        <v>51</v>
      </c>
      <c r="J18" s="252">
        <v>97</v>
      </c>
      <c r="K18" s="252">
        <v>30</v>
      </c>
      <c r="L18" s="252">
        <v>12</v>
      </c>
      <c r="M18" s="252">
        <v>10</v>
      </c>
      <c r="N18" s="252">
        <v>38</v>
      </c>
      <c r="O18" s="252">
        <f t="shared" si="0"/>
        <v>614</v>
      </c>
    </row>
    <row r="19" spans="1:15" ht="15.75" thickBot="1" x14ac:dyDescent="0.3">
      <c r="A19" s="55"/>
      <c r="B19" s="31" t="str">
        <f>[1]Master!R18</f>
        <v>LEBANON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252">
        <f t="shared" si="0"/>
        <v>0</v>
      </c>
    </row>
    <row r="20" spans="1:15" ht="15.75" thickBot="1" x14ac:dyDescent="0.3">
      <c r="A20" s="55"/>
      <c r="B20" s="31" t="str">
        <f>[1]Master!R19</f>
        <v>UNION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  <c r="H20" s="252">
        <v>0</v>
      </c>
      <c r="I20" s="252">
        <v>0</v>
      </c>
      <c r="J20" s="252">
        <v>0</v>
      </c>
      <c r="K20" s="252">
        <v>0</v>
      </c>
      <c r="L20" s="252">
        <v>0</v>
      </c>
      <c r="M20" s="252">
        <v>0</v>
      </c>
      <c r="N20" s="252">
        <v>0</v>
      </c>
      <c r="O20" s="252">
        <f t="shared" si="0"/>
        <v>0</v>
      </c>
    </row>
    <row r="21" spans="1:15" ht="15.75" thickBot="1" x14ac:dyDescent="0.3">
      <c r="A21" s="55"/>
      <c r="B21" s="31" t="str">
        <f>[1]Master!R20</f>
        <v>YORK</v>
      </c>
      <c r="C21" s="252">
        <v>0</v>
      </c>
      <c r="D21" s="252">
        <v>0</v>
      </c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2</v>
      </c>
      <c r="O21" s="252">
        <f t="shared" si="0"/>
        <v>2</v>
      </c>
    </row>
    <row r="22" spans="1:15" ht="13.5" customHeight="1" thickBot="1" x14ac:dyDescent="0.3">
      <c r="A22" s="55"/>
      <c r="B22" s="35" t="s">
        <v>40</v>
      </c>
      <c r="C22" s="250">
        <f t="shared" ref="C22:O22" si="1">SUM(C13:C21)</f>
        <v>94</v>
      </c>
      <c r="D22" s="250">
        <f t="shared" si="1"/>
        <v>113</v>
      </c>
      <c r="E22" s="250">
        <f t="shared" si="1"/>
        <v>128</v>
      </c>
      <c r="F22" s="250">
        <f t="shared" si="1"/>
        <v>73</v>
      </c>
      <c r="G22" s="250">
        <f t="shared" si="1"/>
        <v>67</v>
      </c>
      <c r="H22" s="250">
        <f t="shared" si="1"/>
        <v>49</v>
      </c>
      <c r="I22" s="250">
        <f t="shared" si="1"/>
        <v>64</v>
      </c>
      <c r="J22" s="250">
        <f t="shared" si="1"/>
        <v>115</v>
      </c>
      <c r="K22" s="250">
        <f t="shared" si="1"/>
        <v>38</v>
      </c>
      <c r="L22" s="250">
        <f t="shared" si="1"/>
        <v>13</v>
      </c>
      <c r="M22" s="250">
        <f t="shared" si="1"/>
        <v>12</v>
      </c>
      <c r="N22" s="250">
        <v>79</v>
      </c>
      <c r="O22" s="250">
        <f t="shared" si="1"/>
        <v>845</v>
      </c>
    </row>
    <row r="23" spans="1:15" ht="15.75" thickBot="1" x14ac:dyDescent="0.3">
      <c r="A23" s="55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55"/>
    </row>
    <row r="24" spans="1:15" ht="15.75" thickBot="1" x14ac:dyDescent="0.3">
      <c r="A24" s="55"/>
      <c r="B24" s="228" t="s">
        <v>41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30"/>
    </row>
    <row r="25" spans="1:15" ht="15.75" customHeight="1" thickBot="1" x14ac:dyDescent="0.3">
      <c r="A25" s="55"/>
      <c r="B25" s="32" t="str">
        <f>[1]Master!R23</f>
        <v>BERKS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f t="shared" ref="O25:O30" si="2">SUM(C25:N25)</f>
        <v>0</v>
      </c>
    </row>
    <row r="26" spans="1:15" ht="15.75" thickBot="1" x14ac:dyDescent="0.3">
      <c r="A26" s="55"/>
      <c r="B26" s="32" t="str">
        <f>[1]Master!R24</f>
        <v>BUCKS</v>
      </c>
      <c r="C26" s="252">
        <v>6</v>
      </c>
      <c r="D26" s="252">
        <v>5</v>
      </c>
      <c r="E26" s="252">
        <v>0</v>
      </c>
      <c r="F26" s="252">
        <v>12</v>
      </c>
      <c r="G26" s="252">
        <v>0</v>
      </c>
      <c r="H26" s="252">
        <v>0</v>
      </c>
      <c r="I26" s="252">
        <v>2</v>
      </c>
      <c r="J26" s="252">
        <v>6</v>
      </c>
      <c r="K26" s="252">
        <v>0</v>
      </c>
      <c r="L26" s="252">
        <v>0</v>
      </c>
      <c r="M26" s="252">
        <v>1</v>
      </c>
      <c r="N26" s="252">
        <v>1</v>
      </c>
      <c r="O26" s="252">
        <f t="shared" si="2"/>
        <v>33</v>
      </c>
    </row>
    <row r="27" spans="1:15" ht="15.75" thickBot="1" x14ac:dyDescent="0.3">
      <c r="A27" s="55"/>
      <c r="B27" s="32" t="str">
        <f>[1]Master!R25</f>
        <v>CHESTER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  <c r="I27" s="252">
        <v>2</v>
      </c>
      <c r="J27" s="252">
        <v>1</v>
      </c>
      <c r="K27" s="252">
        <v>0</v>
      </c>
      <c r="L27" s="252">
        <v>1</v>
      </c>
      <c r="M27" s="252">
        <v>5</v>
      </c>
      <c r="N27" s="252">
        <v>0</v>
      </c>
      <c r="O27" s="252">
        <f t="shared" si="2"/>
        <v>9</v>
      </c>
    </row>
    <row r="28" spans="1:15" ht="15.75" thickBot="1" x14ac:dyDescent="0.3">
      <c r="A28" s="55"/>
      <c r="B28" s="32" t="str">
        <f>[1]Master!R26</f>
        <v>DELAWARE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9</v>
      </c>
      <c r="M28" s="252">
        <v>0</v>
      </c>
      <c r="N28" s="252">
        <v>0</v>
      </c>
      <c r="O28" s="252">
        <f t="shared" si="2"/>
        <v>9</v>
      </c>
    </row>
    <row r="29" spans="1:15" ht="15.75" thickBot="1" x14ac:dyDescent="0.3">
      <c r="A29" s="55"/>
      <c r="B29" s="32" t="str">
        <f>[1]Master!R27</f>
        <v>MONTGOMERY</v>
      </c>
      <c r="C29" s="252">
        <v>0</v>
      </c>
      <c r="D29" s="252">
        <v>1</v>
      </c>
      <c r="E29" s="252">
        <v>2</v>
      </c>
      <c r="F29" s="252">
        <v>6</v>
      </c>
      <c r="G29" s="252">
        <v>1</v>
      </c>
      <c r="H29" s="252">
        <v>1</v>
      </c>
      <c r="I29" s="252">
        <v>0</v>
      </c>
      <c r="J29" s="252">
        <v>4</v>
      </c>
      <c r="K29" s="252">
        <v>0</v>
      </c>
      <c r="L29" s="252">
        <v>0</v>
      </c>
      <c r="M29" s="252">
        <v>0</v>
      </c>
      <c r="N29" s="252">
        <v>2</v>
      </c>
      <c r="O29" s="252">
        <f t="shared" si="2"/>
        <v>17</v>
      </c>
    </row>
    <row r="30" spans="1:15" ht="15.75" thickBot="1" x14ac:dyDescent="0.3">
      <c r="A30" s="55"/>
      <c r="B30" s="32" t="str">
        <f>[1]Master!R28</f>
        <v>PHILADELPHIA</v>
      </c>
      <c r="C30" s="252">
        <v>92</v>
      </c>
      <c r="D30" s="252">
        <v>69</v>
      </c>
      <c r="E30" s="252">
        <v>86</v>
      </c>
      <c r="F30" s="252">
        <v>104</v>
      </c>
      <c r="G30" s="252">
        <v>44</v>
      </c>
      <c r="H30" s="252">
        <v>26</v>
      </c>
      <c r="I30" s="252">
        <v>37</v>
      </c>
      <c r="J30" s="252">
        <v>56</v>
      </c>
      <c r="K30" s="252">
        <v>60</v>
      </c>
      <c r="L30" s="252">
        <v>8</v>
      </c>
      <c r="M30" s="252">
        <v>37</v>
      </c>
      <c r="N30" s="252">
        <v>24</v>
      </c>
      <c r="O30" s="252">
        <f t="shared" si="2"/>
        <v>643</v>
      </c>
    </row>
    <row r="31" spans="1:15" ht="13.5" customHeight="1" thickBot="1" x14ac:dyDescent="0.3">
      <c r="A31" s="55"/>
      <c r="B31" s="35" t="s">
        <v>40</v>
      </c>
      <c r="C31" s="250">
        <v>98</v>
      </c>
      <c r="D31" s="250">
        <v>75</v>
      </c>
      <c r="E31" s="250">
        <v>88</v>
      </c>
      <c r="F31" s="250">
        <v>122</v>
      </c>
      <c r="G31" s="250">
        <v>45</v>
      </c>
      <c r="H31" s="250">
        <v>27</v>
      </c>
      <c r="I31" s="250">
        <v>41</v>
      </c>
      <c r="J31" s="250">
        <v>67</v>
      </c>
      <c r="K31" s="250">
        <v>60</v>
      </c>
      <c r="L31" s="250">
        <v>18</v>
      </c>
      <c r="M31" s="250">
        <v>43</v>
      </c>
      <c r="N31" s="250">
        <v>27</v>
      </c>
      <c r="O31" s="250">
        <f>SUM(O25:O30)</f>
        <v>711</v>
      </c>
    </row>
    <row r="32" spans="1:15" ht="15.75" thickBot="1" x14ac:dyDescent="0.3">
      <c r="A32" s="55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55"/>
    </row>
    <row r="33" spans="1:15" ht="15.75" thickBot="1" x14ac:dyDescent="0.3">
      <c r="A33" s="55"/>
      <c r="B33" s="231" t="s">
        <v>47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3"/>
    </row>
    <row r="34" spans="1:15" ht="15.75" thickBot="1" x14ac:dyDescent="0.3">
      <c r="A34" s="55"/>
      <c r="B34" s="33" t="str">
        <f>[1]Master!R31</f>
        <v>NORTHAMPTON</v>
      </c>
      <c r="C34" s="252">
        <v>0</v>
      </c>
      <c r="D34" s="252">
        <v>0</v>
      </c>
      <c r="E34" s="252">
        <v>0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252">
        <v>0</v>
      </c>
      <c r="N34" s="252">
        <v>0</v>
      </c>
      <c r="O34" s="252">
        <f>SUM(C34:N34)</f>
        <v>0</v>
      </c>
    </row>
    <row r="35" spans="1:15" ht="15.75" thickBot="1" x14ac:dyDescent="0.3">
      <c r="A35" s="55"/>
      <c r="B35" s="33" t="str">
        <f>[1]Master!R32</f>
        <v>LACKAWANNA</v>
      </c>
      <c r="C35" s="252">
        <v>16</v>
      </c>
      <c r="D35" s="252">
        <v>16</v>
      </c>
      <c r="E35" s="252">
        <v>13</v>
      </c>
      <c r="F35" s="252">
        <v>22</v>
      </c>
      <c r="G35" s="252">
        <v>1</v>
      </c>
      <c r="H35" s="252">
        <v>6</v>
      </c>
      <c r="I35" s="252">
        <v>3</v>
      </c>
      <c r="J35" s="252">
        <v>29</v>
      </c>
      <c r="K35" s="252">
        <v>0</v>
      </c>
      <c r="L35" s="252">
        <v>0</v>
      </c>
      <c r="M35" s="252">
        <v>8</v>
      </c>
      <c r="N35" s="252">
        <v>11</v>
      </c>
      <c r="O35" s="252">
        <f>SUM(C35:N35)</f>
        <v>125</v>
      </c>
    </row>
    <row r="36" spans="1:15" ht="15.75" thickBot="1" x14ac:dyDescent="0.3">
      <c r="A36" s="55"/>
      <c r="B36" s="33" t="str">
        <f>[1]Master!R33</f>
        <v>LEHIGH</v>
      </c>
      <c r="C36" s="252">
        <v>7</v>
      </c>
      <c r="D36" s="252">
        <v>14</v>
      </c>
      <c r="E36" s="252">
        <v>20</v>
      </c>
      <c r="F36" s="252">
        <v>17</v>
      </c>
      <c r="G36" s="252">
        <v>12</v>
      </c>
      <c r="H36" s="252">
        <v>0</v>
      </c>
      <c r="I36" s="252">
        <v>7</v>
      </c>
      <c r="J36" s="252">
        <v>0</v>
      </c>
      <c r="K36" s="252">
        <v>18</v>
      </c>
      <c r="L36" s="252">
        <v>3</v>
      </c>
      <c r="M36" s="252">
        <v>1</v>
      </c>
      <c r="N36" s="252">
        <v>5</v>
      </c>
      <c r="O36" s="252">
        <f>SUM(C36:N36)</f>
        <v>104</v>
      </c>
    </row>
    <row r="37" spans="1:15" ht="15.75" thickBot="1" x14ac:dyDescent="0.3">
      <c r="A37" s="55"/>
      <c r="B37" s="33" t="str">
        <f>[1]Master!R34</f>
        <v>LYCOMING</v>
      </c>
      <c r="C37" s="252">
        <v>0</v>
      </c>
      <c r="D37" s="252">
        <v>0</v>
      </c>
      <c r="E37" s="252">
        <v>0</v>
      </c>
      <c r="F37" s="252">
        <v>0</v>
      </c>
      <c r="G37" s="252">
        <v>0</v>
      </c>
      <c r="H37" s="252">
        <v>0</v>
      </c>
      <c r="I37" s="252">
        <v>0</v>
      </c>
      <c r="J37" s="252">
        <v>0</v>
      </c>
      <c r="K37" s="252">
        <v>0</v>
      </c>
      <c r="L37" s="252">
        <v>0</v>
      </c>
      <c r="M37" s="252">
        <v>0</v>
      </c>
      <c r="N37" s="252">
        <v>0</v>
      </c>
      <c r="O37" s="252">
        <f>SUM(C37:N37)</f>
        <v>0</v>
      </c>
    </row>
    <row r="38" spans="1:15" ht="13.5" customHeight="1" thickBot="1" x14ac:dyDescent="0.3">
      <c r="A38" s="55"/>
      <c r="B38" s="33" t="str">
        <f>[1]Master!R35</f>
        <v>LUZERNE</v>
      </c>
      <c r="C38" s="252">
        <v>1</v>
      </c>
      <c r="D38" s="252">
        <v>0</v>
      </c>
      <c r="E38" s="252">
        <v>0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252">
        <v>0</v>
      </c>
      <c r="L38" s="252">
        <v>0</v>
      </c>
      <c r="M38" s="252">
        <v>0</v>
      </c>
      <c r="N38" s="252">
        <v>0</v>
      </c>
      <c r="O38" s="252">
        <f>SUM(C38:N38)</f>
        <v>1</v>
      </c>
    </row>
    <row r="39" spans="1:15" ht="15.75" thickBot="1" x14ac:dyDescent="0.3">
      <c r="A39" s="55"/>
      <c r="B39" s="240" t="s">
        <v>40</v>
      </c>
      <c r="C39" s="250">
        <v>24</v>
      </c>
      <c r="D39" s="250">
        <v>30</v>
      </c>
      <c r="E39" s="250">
        <v>33</v>
      </c>
      <c r="F39" s="250">
        <v>39</v>
      </c>
      <c r="G39" s="250">
        <v>13</v>
      </c>
      <c r="H39" s="250">
        <v>6</v>
      </c>
      <c r="I39" s="250">
        <v>10</v>
      </c>
      <c r="J39" s="250">
        <v>29</v>
      </c>
      <c r="K39" s="250">
        <v>18</v>
      </c>
      <c r="L39" s="250">
        <v>3</v>
      </c>
      <c r="M39" s="250">
        <v>9</v>
      </c>
      <c r="N39" s="250">
        <v>16</v>
      </c>
      <c r="O39" s="250">
        <f>SUM(O34:O38)</f>
        <v>230</v>
      </c>
    </row>
    <row r="40" spans="1:15" ht="15.75" thickBot="1" x14ac:dyDescent="0.3">
      <c r="A40" s="55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55"/>
    </row>
    <row r="41" spans="1:15" ht="15.75" thickBot="1" x14ac:dyDescent="0.3">
      <c r="A41" s="55"/>
      <c r="B41" s="234" t="s">
        <v>52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6"/>
    </row>
    <row r="42" spans="1:15" ht="15.75" thickBot="1" x14ac:dyDescent="0.3">
      <c r="B42" s="34" t="str">
        <f>[1]Master!R38</f>
        <v>ERIE</v>
      </c>
      <c r="C42" s="252">
        <v>78</v>
      </c>
      <c r="D42" s="252">
        <v>104</v>
      </c>
      <c r="E42" s="252">
        <v>76</v>
      </c>
      <c r="F42" s="252">
        <v>42</v>
      </c>
      <c r="G42" s="252">
        <v>42</v>
      </c>
      <c r="H42" s="252">
        <v>10</v>
      </c>
      <c r="I42" s="252">
        <v>13</v>
      </c>
      <c r="J42" s="252">
        <v>17</v>
      </c>
      <c r="K42" s="252">
        <v>43</v>
      </c>
      <c r="L42" s="252">
        <v>7</v>
      </c>
      <c r="M42" s="252">
        <v>5</v>
      </c>
      <c r="N42" s="252">
        <v>18</v>
      </c>
      <c r="O42" s="252"/>
    </row>
    <row r="43" spans="1:15" ht="15.75" thickBot="1" x14ac:dyDescent="0.3">
      <c r="B43" s="35" t="s">
        <v>40</v>
      </c>
      <c r="C43" s="251">
        <v>78</v>
      </c>
      <c r="D43" s="251">
        <v>104</v>
      </c>
      <c r="E43" s="251">
        <v>76</v>
      </c>
      <c r="F43" s="251">
        <v>42</v>
      </c>
      <c r="G43" s="251">
        <v>42</v>
      </c>
      <c r="H43" s="251">
        <v>10</v>
      </c>
      <c r="I43" s="251">
        <v>13</v>
      </c>
      <c r="J43" s="251">
        <v>17</v>
      </c>
      <c r="K43" s="251">
        <v>43</v>
      </c>
      <c r="L43" s="251">
        <v>7</v>
      </c>
      <c r="M43" s="251">
        <v>5</v>
      </c>
      <c r="N43" s="251">
        <v>18</v>
      </c>
      <c r="O43" s="251">
        <f>SUM(C43:N43)</f>
        <v>455</v>
      </c>
    </row>
    <row r="44" spans="1:15" ht="15.75" thickBot="1" x14ac:dyDescent="0.3">
      <c r="B44" s="9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15.75" thickBot="1" x14ac:dyDescent="0.3">
      <c r="B45" s="240" t="s">
        <v>53</v>
      </c>
      <c r="C45" s="25">
        <f t="shared" ref="C45:N45" si="3">SUM(C10,C22,C31,C39,C43)</f>
        <v>387</v>
      </c>
      <c r="D45" s="25">
        <f t="shared" si="3"/>
        <v>388</v>
      </c>
      <c r="E45" s="25">
        <f t="shared" si="3"/>
        <v>373</v>
      </c>
      <c r="F45" s="25">
        <f t="shared" si="3"/>
        <v>325</v>
      </c>
      <c r="G45" s="25">
        <f t="shared" si="3"/>
        <v>178</v>
      </c>
      <c r="H45" s="25">
        <f t="shared" si="3"/>
        <v>112</v>
      </c>
      <c r="I45" s="25">
        <f t="shared" si="3"/>
        <v>146</v>
      </c>
      <c r="J45" s="25">
        <f t="shared" si="3"/>
        <v>269</v>
      </c>
      <c r="K45" s="25">
        <f t="shared" si="3"/>
        <v>202</v>
      </c>
      <c r="L45" s="25">
        <f t="shared" si="3"/>
        <v>53</v>
      </c>
      <c r="M45" s="25">
        <f t="shared" si="3"/>
        <v>87</v>
      </c>
      <c r="N45" s="25">
        <v>178</v>
      </c>
      <c r="O45" s="25">
        <f>SUM(O43,O39,O31,O22,O10)</f>
        <v>2698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0660-FA02-47C4-BDF9-5CD574EB2AD8}">
  <dimension ref="A1:R67"/>
  <sheetViews>
    <sheetView workbookViewId="0">
      <selection activeCell="U21" sqref="U21"/>
    </sheetView>
  </sheetViews>
  <sheetFormatPr defaultRowHeight="15" x14ac:dyDescent="0.25"/>
  <cols>
    <col min="1" max="1" width="2" style="263" customWidth="1"/>
    <col min="2" max="2" width="19.28515625" style="4" customWidth="1"/>
    <col min="3" max="3" width="6.140625" style="6" customWidth="1"/>
    <col min="4" max="4" width="9.140625" style="53"/>
    <col min="5" max="5" width="8.5703125" style="53" customWidth="1"/>
    <col min="6" max="16" width="9.140625" style="53"/>
    <col min="17" max="17" width="19.28515625" style="5" customWidth="1"/>
    <col min="18" max="16384" width="9.140625" style="263"/>
  </cols>
  <sheetData>
    <row r="1" spans="1:18" ht="10.5" customHeight="1" thickBot="1" x14ac:dyDescent="0.3">
      <c r="A1" s="55"/>
      <c r="B1" s="50"/>
      <c r="C1" s="1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1"/>
      <c r="R1" s="55"/>
    </row>
    <row r="2" spans="1:18" ht="15.75" thickBot="1" x14ac:dyDescent="0.3">
      <c r="A2" s="55"/>
      <c r="B2" s="366" t="s">
        <v>126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  <c r="R2" s="55"/>
    </row>
    <row r="3" spans="1:18" s="50" customFormat="1" ht="13.5" customHeight="1" thickBot="1" x14ac:dyDescent="0.25">
      <c r="B3" s="369"/>
      <c r="C3" s="370"/>
      <c r="D3" s="153" t="s">
        <v>19</v>
      </c>
      <c r="E3" s="153" t="s">
        <v>20</v>
      </c>
      <c r="F3" s="153" t="s">
        <v>21</v>
      </c>
      <c r="G3" s="153" t="s">
        <v>22</v>
      </c>
      <c r="H3" s="153" t="s">
        <v>23</v>
      </c>
      <c r="I3" s="153" t="s">
        <v>24</v>
      </c>
      <c r="J3" s="153" t="s">
        <v>25</v>
      </c>
      <c r="K3" s="153" t="s">
        <v>26</v>
      </c>
      <c r="L3" s="153" t="s">
        <v>27</v>
      </c>
      <c r="M3" s="153" t="s">
        <v>28</v>
      </c>
      <c r="N3" s="153" t="s">
        <v>29</v>
      </c>
      <c r="O3" s="153" t="s">
        <v>30</v>
      </c>
      <c r="P3" s="373" t="s">
        <v>40</v>
      </c>
      <c r="Q3" s="375"/>
    </row>
    <row r="4" spans="1:18" s="50" customFormat="1" ht="13.5" customHeight="1" thickBot="1" x14ac:dyDescent="0.25">
      <c r="B4" s="371"/>
      <c r="C4" s="372"/>
      <c r="D4" s="153">
        <v>10</v>
      </c>
      <c r="E4" s="153">
        <v>11</v>
      </c>
      <c r="F4" s="153">
        <v>12</v>
      </c>
      <c r="G4" s="153">
        <v>1</v>
      </c>
      <c r="H4" s="153">
        <v>2</v>
      </c>
      <c r="I4" s="153">
        <v>3</v>
      </c>
      <c r="J4" s="153">
        <v>4</v>
      </c>
      <c r="K4" s="153">
        <v>5</v>
      </c>
      <c r="L4" s="153">
        <v>6</v>
      </c>
      <c r="M4" s="153">
        <v>7</v>
      </c>
      <c r="N4" s="153">
        <v>8</v>
      </c>
      <c r="O4" s="153">
        <v>9</v>
      </c>
      <c r="P4" s="374"/>
      <c r="Q4" s="376"/>
    </row>
    <row r="5" spans="1:18" ht="15.75" thickBot="1" x14ac:dyDescent="0.3">
      <c r="A5" s="55"/>
      <c r="B5" s="146" t="str">
        <f>[1]Master!AF7</f>
        <v>AFGHANISTAN</v>
      </c>
      <c r="C5" s="153" t="str">
        <f>[1]Master!AG7</f>
        <v>AF</v>
      </c>
      <c r="D5" s="258">
        <v>19</v>
      </c>
      <c r="E5" s="258">
        <v>4</v>
      </c>
      <c r="F5" s="258">
        <v>17</v>
      </c>
      <c r="G5" s="258">
        <v>23</v>
      </c>
      <c r="H5" s="258">
        <v>24</v>
      </c>
      <c r="I5" s="258">
        <v>5</v>
      </c>
      <c r="J5" s="258">
        <v>8</v>
      </c>
      <c r="K5" s="258">
        <v>12</v>
      </c>
      <c r="L5" s="258">
        <v>21</v>
      </c>
      <c r="M5" s="258">
        <v>19</v>
      </c>
      <c r="N5" s="258">
        <v>45</v>
      </c>
      <c r="O5" s="258">
        <v>31</v>
      </c>
      <c r="P5" s="258">
        <f>SUM(D5:O5)</f>
        <v>228</v>
      </c>
      <c r="Q5" s="146" t="str">
        <f>[1]Master!AF7</f>
        <v>AFGHANISTAN</v>
      </c>
      <c r="R5" s="55"/>
    </row>
    <row r="6" spans="1:18" ht="15.75" thickBot="1" x14ac:dyDescent="0.3">
      <c r="A6" s="55"/>
      <c r="B6" s="146" t="str">
        <f>[1]Master!AF8</f>
        <v>ARMENIA</v>
      </c>
      <c r="C6" s="153" t="str">
        <f>[1]Master!AG8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46" t="str">
        <f>[1]Master!AF8</f>
        <v>ARMENIA</v>
      </c>
      <c r="R6" s="55"/>
    </row>
    <row r="7" spans="1:18" ht="15.75" thickBot="1" x14ac:dyDescent="0.3">
      <c r="A7" s="55"/>
      <c r="B7" s="146" t="s">
        <v>780</v>
      </c>
      <c r="C7" s="153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2</v>
      </c>
      <c r="P7" s="258">
        <f t="shared" si="0"/>
        <v>2</v>
      </c>
      <c r="Q7" s="146" t="s">
        <v>780</v>
      </c>
      <c r="R7" s="55"/>
    </row>
    <row r="8" spans="1:18" ht="15.75" thickBot="1" x14ac:dyDescent="0.3">
      <c r="A8" s="55"/>
      <c r="B8" s="146" t="str">
        <f>[1]Master!AF9</f>
        <v>BELARUS</v>
      </c>
      <c r="C8" s="153" t="str">
        <f>[1]Master!AG9</f>
        <v>BO</v>
      </c>
      <c r="D8" s="258">
        <v>0</v>
      </c>
      <c r="E8" s="258">
        <v>0</v>
      </c>
      <c r="F8" s="258">
        <v>0</v>
      </c>
      <c r="G8" s="258">
        <v>3</v>
      </c>
      <c r="H8" s="258">
        <v>1</v>
      </c>
      <c r="I8" s="258">
        <v>0</v>
      </c>
      <c r="J8" s="258">
        <v>0</v>
      </c>
      <c r="K8" s="258">
        <v>14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18</v>
      </c>
      <c r="Q8" s="146" t="str">
        <f>[1]Master!AF9</f>
        <v>BELARUS</v>
      </c>
      <c r="R8" s="55"/>
    </row>
    <row r="9" spans="1:18" ht="15.75" thickBot="1" x14ac:dyDescent="0.3">
      <c r="A9" s="55"/>
      <c r="B9" s="146" t="str">
        <f>[1]Master!AF10</f>
        <v>BURMA</v>
      </c>
      <c r="C9" s="153" t="str">
        <f>[1]Master!AG10</f>
        <v>BM</v>
      </c>
      <c r="D9" s="258">
        <v>17</v>
      </c>
      <c r="E9" s="258">
        <v>10</v>
      </c>
      <c r="F9" s="258">
        <v>8</v>
      </c>
      <c r="G9" s="258">
        <v>8</v>
      </c>
      <c r="H9" s="258">
        <v>3</v>
      </c>
      <c r="I9" s="258">
        <v>7</v>
      </c>
      <c r="J9" s="258">
        <v>16</v>
      </c>
      <c r="K9" s="258">
        <v>12</v>
      </c>
      <c r="L9" s="258">
        <v>4</v>
      </c>
      <c r="M9" s="258">
        <v>0</v>
      </c>
      <c r="N9" s="258">
        <v>0</v>
      </c>
      <c r="O9" s="258">
        <v>6</v>
      </c>
      <c r="P9" s="258">
        <f t="shared" si="0"/>
        <v>91</v>
      </c>
      <c r="Q9" s="146" t="str">
        <f>[1]Master!AF10</f>
        <v>BURMA</v>
      </c>
      <c r="R9" s="55"/>
    </row>
    <row r="10" spans="1:18" ht="15.75" thickBot="1" x14ac:dyDescent="0.3">
      <c r="A10" s="55"/>
      <c r="B10" s="146" t="str">
        <f>[1]Master!AF11</f>
        <v>BHUTAN</v>
      </c>
      <c r="C10" s="153" t="str">
        <f>[1]Master!AG11</f>
        <v>BT</v>
      </c>
      <c r="D10" s="258">
        <v>55</v>
      </c>
      <c r="E10" s="258">
        <v>39</v>
      </c>
      <c r="F10" s="258">
        <v>68</v>
      </c>
      <c r="G10" s="258">
        <v>40</v>
      </c>
      <c r="H10" s="258">
        <v>9</v>
      </c>
      <c r="I10" s="258">
        <v>10</v>
      </c>
      <c r="J10" s="258">
        <v>17</v>
      </c>
      <c r="K10" s="258">
        <v>51</v>
      </c>
      <c r="L10" s="258">
        <v>30</v>
      </c>
      <c r="M10" s="258">
        <v>6</v>
      </c>
      <c r="N10" s="258">
        <v>11</v>
      </c>
      <c r="O10" s="258">
        <v>66</v>
      </c>
      <c r="P10" s="258">
        <f t="shared" si="0"/>
        <v>402</v>
      </c>
      <c r="Q10" s="146" t="str">
        <f>[1]Master!AF11</f>
        <v>BHUTAN</v>
      </c>
      <c r="R10" s="55"/>
    </row>
    <row r="11" spans="1:18" ht="15.75" thickBot="1" x14ac:dyDescent="0.3">
      <c r="A11" s="55"/>
      <c r="B11" s="146" t="s">
        <v>779</v>
      </c>
      <c r="C11" s="153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46" t="s">
        <v>779</v>
      </c>
      <c r="R11" s="197"/>
    </row>
    <row r="12" spans="1:18" ht="15.75" thickBot="1" x14ac:dyDescent="0.3">
      <c r="A12" s="55"/>
      <c r="B12" s="146" t="str">
        <f>[1]Master!AF12</f>
        <v>BURUNDI</v>
      </c>
      <c r="C12" s="153" t="str">
        <f>[1]Master!AG12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46" t="str">
        <f>[1]Master!AF12</f>
        <v>BURUNDI</v>
      </c>
      <c r="R12" s="55"/>
    </row>
    <row r="13" spans="1:18" ht="15.75" thickBot="1" x14ac:dyDescent="0.3">
      <c r="A13" s="55"/>
      <c r="B13" s="146" t="str">
        <f>[1]Master!AF13</f>
        <v>CAMEROUN</v>
      </c>
      <c r="C13" s="153" t="str">
        <f>[1]Master!AG13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1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1</v>
      </c>
      <c r="Q13" s="146" t="str">
        <f>[1]Master!AF13</f>
        <v>CAMEROUN</v>
      </c>
      <c r="R13" s="55"/>
    </row>
    <row r="14" spans="1:18" ht="15.75" thickBot="1" x14ac:dyDescent="0.3">
      <c r="A14" s="55"/>
      <c r="B14" s="146" t="str">
        <f>[1]Master!AF14</f>
        <v>CENTRAL AFR REP</v>
      </c>
      <c r="C14" s="153" t="str">
        <f>[1]Master!AG14</f>
        <v>CT</v>
      </c>
      <c r="D14" s="258">
        <v>0</v>
      </c>
      <c r="E14" s="258">
        <v>0</v>
      </c>
      <c r="F14" s="258">
        <v>1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1</v>
      </c>
      <c r="M14" s="258">
        <v>0</v>
      </c>
      <c r="N14" s="258">
        <v>0</v>
      </c>
      <c r="O14" s="258">
        <v>0</v>
      </c>
      <c r="P14" s="258">
        <f t="shared" si="0"/>
        <v>2</v>
      </c>
      <c r="Q14" s="146" t="str">
        <f>[1]Master!AF14</f>
        <v>CENTRAL AFR REP</v>
      </c>
    </row>
    <row r="15" spans="1:18" ht="15.75" thickBot="1" x14ac:dyDescent="0.3">
      <c r="A15" s="55"/>
      <c r="B15" s="146" t="str">
        <f>[1]Master!AF15</f>
        <v>CHINA</v>
      </c>
      <c r="C15" s="153" t="str">
        <f>[1]Master!AG15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46" t="str">
        <f>[1]Master!AF15</f>
        <v>CHINA</v>
      </c>
      <c r="R15" s="55"/>
    </row>
    <row r="16" spans="1:18" ht="15.75" thickBot="1" x14ac:dyDescent="0.3">
      <c r="A16" s="55"/>
      <c r="B16" s="146" t="str">
        <f>[1]Master!AF16</f>
        <v>DEM REP OF CONGO</v>
      </c>
      <c r="C16" s="153" t="str">
        <f>[1]Master!AG16</f>
        <v>CG</v>
      </c>
      <c r="D16" s="258">
        <v>61</v>
      </c>
      <c r="E16" s="258">
        <v>144</v>
      </c>
      <c r="F16" s="258">
        <v>25</v>
      </c>
      <c r="G16" s="258">
        <v>47</v>
      </c>
      <c r="H16" s="258">
        <v>9</v>
      </c>
      <c r="I16" s="258">
        <v>15</v>
      </c>
      <c r="J16" s="258">
        <v>31</v>
      </c>
      <c r="K16" s="258">
        <v>55</v>
      </c>
      <c r="L16" s="258">
        <v>37</v>
      </c>
      <c r="M16" s="258">
        <v>0</v>
      </c>
      <c r="N16" s="258">
        <v>0</v>
      </c>
      <c r="O16" s="258">
        <v>24</v>
      </c>
      <c r="P16" s="258">
        <f t="shared" si="0"/>
        <v>448</v>
      </c>
      <c r="Q16" s="146" t="str">
        <f>[1]Master!AF16</f>
        <v>DEM REP OF CONGO</v>
      </c>
      <c r="R16" s="55"/>
    </row>
    <row r="17" spans="1:18" ht="15.75" thickBot="1" x14ac:dyDescent="0.3">
      <c r="A17" s="55"/>
      <c r="B17" s="146" t="str">
        <f>[1]Master!AF17</f>
        <v>COLUMBIA</v>
      </c>
      <c r="C17" s="153" t="str">
        <f>[1]Master!AG17</f>
        <v>CO</v>
      </c>
      <c r="D17" s="258">
        <v>5</v>
      </c>
      <c r="E17" s="258">
        <v>0</v>
      </c>
      <c r="F17" s="258">
        <v>0</v>
      </c>
      <c r="G17" s="258">
        <v>3</v>
      </c>
      <c r="H17" s="258">
        <v>0</v>
      </c>
      <c r="I17" s="258">
        <v>0</v>
      </c>
      <c r="J17" s="258">
        <v>0</v>
      </c>
      <c r="K17" s="258">
        <v>2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10</v>
      </c>
      <c r="Q17" s="146" t="str">
        <f>[1]Master!AF17</f>
        <v>COLUMBIA</v>
      </c>
      <c r="R17" s="55"/>
    </row>
    <row r="18" spans="1:18" ht="15.75" thickBot="1" x14ac:dyDescent="0.3">
      <c r="A18" s="55"/>
      <c r="B18" s="146" t="str">
        <f>[1]Master!AF18</f>
        <v>CONGO</v>
      </c>
      <c r="C18" s="153" t="str">
        <f>[1]Master!AG18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46" t="str">
        <f>[1]Master!AF18</f>
        <v>CONGO</v>
      </c>
      <c r="R18" s="55"/>
    </row>
    <row r="19" spans="1:18" ht="15.75" thickBot="1" x14ac:dyDescent="0.3">
      <c r="A19" s="55"/>
      <c r="B19" s="146" t="str">
        <f>[1]Master!AF19</f>
        <v>CUBA</v>
      </c>
      <c r="C19" s="153" t="str">
        <f>[1]Master!AG19</f>
        <v>CU</v>
      </c>
      <c r="D19" s="258">
        <v>31</v>
      </c>
      <c r="E19" s="258">
        <v>19</v>
      </c>
      <c r="F19" s="258">
        <v>55</v>
      </c>
      <c r="G19" s="258">
        <v>13</v>
      </c>
      <c r="H19" s="258">
        <v>18</v>
      </c>
      <c r="I19" s="258">
        <v>21</v>
      </c>
      <c r="J19" s="258">
        <v>17</v>
      </c>
      <c r="K19" s="258">
        <v>15</v>
      </c>
      <c r="L19" s="258">
        <v>9</v>
      </c>
      <c r="M19" s="258">
        <v>2</v>
      </c>
      <c r="N19" s="258">
        <v>1</v>
      </c>
      <c r="O19" s="258">
        <v>9</v>
      </c>
      <c r="P19" s="258">
        <f t="shared" si="0"/>
        <v>210</v>
      </c>
      <c r="Q19" s="146" t="str">
        <f>[1]Master!AF19</f>
        <v>CUBA</v>
      </c>
      <c r="R19" s="55"/>
    </row>
    <row r="20" spans="1:18" ht="15.75" thickBot="1" x14ac:dyDescent="0.3">
      <c r="A20" s="55"/>
      <c r="B20" s="146" t="str">
        <f>[1]Master!AF20</f>
        <v>CUBAN ENTRANT</v>
      </c>
      <c r="C20" s="153" t="str">
        <f>[1]Master!AG20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46" t="str">
        <f>[1]Master!AF20</f>
        <v>CUBAN ENTRANT</v>
      </c>
      <c r="R20" s="55"/>
    </row>
    <row r="21" spans="1:18" ht="15.75" thickBot="1" x14ac:dyDescent="0.3">
      <c r="A21" s="55"/>
      <c r="B21" s="146" t="str">
        <f>[1]Master!AF21</f>
        <v>ECUADOR</v>
      </c>
      <c r="C21" s="153" t="str">
        <f>[1]Master!AG21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146" t="str">
        <f>[1]Master!AF21</f>
        <v>ECUADOR</v>
      </c>
      <c r="R21" s="55"/>
    </row>
    <row r="22" spans="1:18" ht="15.75" thickBot="1" x14ac:dyDescent="0.3">
      <c r="A22" s="55"/>
      <c r="B22" s="146" t="str">
        <f>[1]Master!AF22</f>
        <v>EGYPT</v>
      </c>
      <c r="C22" s="153" t="str">
        <f>[1]Master!AG22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146" t="str">
        <f>[1]Master!AF22</f>
        <v>EGYPT</v>
      </c>
      <c r="R22" s="55"/>
    </row>
    <row r="23" spans="1:18" ht="15.75" thickBot="1" x14ac:dyDescent="0.3">
      <c r="A23" s="55"/>
      <c r="B23" s="146" t="str">
        <f>[1]Master!AF23</f>
        <v>ERITREA</v>
      </c>
      <c r="C23" s="153" t="str">
        <f>[1]Master!AG23</f>
        <v>ER</v>
      </c>
      <c r="D23" s="258">
        <v>8</v>
      </c>
      <c r="E23" s="258">
        <v>1</v>
      </c>
      <c r="F23" s="258">
        <v>10</v>
      </c>
      <c r="G23" s="258">
        <v>8</v>
      </c>
      <c r="H23" s="258">
        <v>0</v>
      </c>
      <c r="I23" s="258">
        <v>2</v>
      </c>
      <c r="J23" s="258">
        <v>9</v>
      </c>
      <c r="K23" s="258">
        <v>14</v>
      </c>
      <c r="L23" s="258">
        <v>25</v>
      </c>
      <c r="M23" s="258">
        <v>0</v>
      </c>
      <c r="N23" s="258">
        <v>0</v>
      </c>
      <c r="O23" s="258">
        <v>8</v>
      </c>
      <c r="P23" s="258">
        <f t="shared" si="0"/>
        <v>85</v>
      </c>
      <c r="Q23" s="146" t="str">
        <f>[1]Master!AF23</f>
        <v>ERITREA</v>
      </c>
      <c r="R23" s="55"/>
    </row>
    <row r="24" spans="1:18" ht="15.75" thickBot="1" x14ac:dyDescent="0.3">
      <c r="A24" s="55"/>
      <c r="B24" s="146" t="str">
        <f>[1]Master!AF24</f>
        <v>ETHIOPIA</v>
      </c>
      <c r="C24" s="153" t="str">
        <f>[1]Master!AG24</f>
        <v>ET</v>
      </c>
      <c r="D24" s="258">
        <v>7</v>
      </c>
      <c r="E24" s="258">
        <v>5</v>
      </c>
      <c r="F24" s="258">
        <v>0</v>
      </c>
      <c r="G24" s="258">
        <v>5</v>
      </c>
      <c r="H24" s="258">
        <v>0</v>
      </c>
      <c r="I24" s="258">
        <v>0</v>
      </c>
      <c r="J24" s="258">
        <v>0</v>
      </c>
      <c r="K24" s="258">
        <v>0</v>
      </c>
      <c r="L24" s="258">
        <v>1</v>
      </c>
      <c r="M24" s="258">
        <v>0</v>
      </c>
      <c r="N24" s="258">
        <v>0</v>
      </c>
      <c r="O24" s="258">
        <v>1</v>
      </c>
      <c r="P24" s="258">
        <f t="shared" si="0"/>
        <v>19</v>
      </c>
      <c r="Q24" s="146" t="str">
        <f>[1]Master!AF24</f>
        <v>ETHIOPIA</v>
      </c>
      <c r="R24" s="197"/>
    </row>
    <row r="25" spans="1:18" ht="15.75" thickBot="1" x14ac:dyDescent="0.3">
      <c r="A25" s="55"/>
      <c r="B25" s="146" t="str">
        <f>[1]Master!AF25</f>
        <v>FRANCE</v>
      </c>
      <c r="C25" s="153" t="str">
        <f>[1]Master!AG25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146" t="str">
        <f>[1]Master!AF25</f>
        <v>FRANCE</v>
      </c>
      <c r="R25" s="55"/>
    </row>
    <row r="26" spans="1:18" ht="15.75" thickBot="1" x14ac:dyDescent="0.3">
      <c r="A26" s="55"/>
      <c r="B26" s="146" t="str">
        <f>[1]Master!AF26</f>
        <v>GUINEA</v>
      </c>
      <c r="C26" s="153" t="str">
        <f>[1]Master!AG26</f>
        <v>GV</v>
      </c>
      <c r="D26" s="258">
        <v>0</v>
      </c>
      <c r="E26" s="258">
        <v>0</v>
      </c>
      <c r="F26" s="258">
        <v>0</v>
      </c>
      <c r="G26" s="258">
        <v>1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1</v>
      </c>
      <c r="Q26" s="146" t="str">
        <f>[1]Master!AF26</f>
        <v>GUINEA</v>
      </c>
      <c r="R26" s="55"/>
    </row>
    <row r="27" spans="1:18" ht="15.75" thickBot="1" x14ac:dyDescent="0.3">
      <c r="A27" s="55"/>
      <c r="B27" s="146" t="str">
        <f>[1]Master!AF27</f>
        <v>HAITI</v>
      </c>
      <c r="C27" s="153" t="str">
        <f>[1]Master!AG27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19</v>
      </c>
      <c r="I27" s="258">
        <v>6</v>
      </c>
      <c r="J27" s="258">
        <v>7</v>
      </c>
      <c r="K27" s="258">
        <v>8</v>
      </c>
      <c r="L27" s="258">
        <v>13</v>
      </c>
      <c r="M27" s="258">
        <v>2</v>
      </c>
      <c r="N27" s="258">
        <v>4</v>
      </c>
      <c r="O27" s="258">
        <v>2</v>
      </c>
      <c r="P27" s="258">
        <f t="shared" si="0"/>
        <v>61</v>
      </c>
      <c r="Q27" s="146" t="str">
        <f>[1]Master!AF27</f>
        <v>HAITI</v>
      </c>
      <c r="R27" s="55"/>
    </row>
    <row r="28" spans="1:18" ht="15.75" thickBot="1" x14ac:dyDescent="0.3">
      <c r="A28" s="55"/>
      <c r="B28" s="146" t="str">
        <f>[1]Master!AF28</f>
        <v>INDIA</v>
      </c>
      <c r="C28" s="153" t="str">
        <f>[1]Master!AG28</f>
        <v>IN</v>
      </c>
      <c r="D28" s="258">
        <v>3</v>
      </c>
      <c r="E28" s="258">
        <v>0</v>
      </c>
      <c r="F28" s="258">
        <v>2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2</v>
      </c>
      <c r="O28" s="258">
        <v>1</v>
      </c>
      <c r="P28" s="258">
        <f t="shared" si="0"/>
        <v>8</v>
      </c>
      <c r="Q28" s="146" t="str">
        <f>[1]Master!AF28</f>
        <v>INDIA</v>
      </c>
      <c r="R28" s="55"/>
    </row>
    <row r="29" spans="1:18" ht="15.75" thickBot="1" x14ac:dyDescent="0.3">
      <c r="A29" s="55"/>
      <c r="B29" s="146" t="str">
        <f>[1]Master!AF29</f>
        <v>INDONESIA</v>
      </c>
      <c r="C29" s="153" t="str">
        <f>[1]Master!AG29</f>
        <v>ID</v>
      </c>
      <c r="D29" s="258">
        <v>1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1</v>
      </c>
      <c r="Q29" s="146" t="str">
        <f>[1]Master!AF29</f>
        <v>INDONESIA</v>
      </c>
      <c r="R29" s="55"/>
    </row>
    <row r="30" spans="1:18" ht="15.75" thickBot="1" x14ac:dyDescent="0.3">
      <c r="A30" s="55"/>
      <c r="B30" s="146" t="str">
        <f>[1]Master!AF30</f>
        <v>IRAN</v>
      </c>
      <c r="C30" s="153" t="str">
        <f>[1]Master!AG30</f>
        <v>IR</v>
      </c>
      <c r="D30" s="258">
        <v>0</v>
      </c>
      <c r="E30" s="258">
        <v>0</v>
      </c>
      <c r="F30" s="258">
        <v>4</v>
      </c>
      <c r="G30" s="258">
        <v>4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1</v>
      </c>
      <c r="N30" s="258">
        <v>0</v>
      </c>
      <c r="O30" s="258">
        <v>0</v>
      </c>
      <c r="P30" s="258">
        <f t="shared" si="0"/>
        <v>9</v>
      </c>
      <c r="Q30" s="146" t="str">
        <f>[1]Master!AF30</f>
        <v>IRAN</v>
      </c>
      <c r="R30" s="55"/>
    </row>
    <row r="31" spans="1:18" ht="15.75" thickBot="1" x14ac:dyDescent="0.3">
      <c r="A31" s="55"/>
      <c r="B31" s="146" t="str">
        <f>[1]Master!AF31</f>
        <v>IRAQ</v>
      </c>
      <c r="C31" s="153" t="str">
        <f>[1]Master!AG31</f>
        <v>IZ</v>
      </c>
      <c r="D31" s="258">
        <v>23</v>
      </c>
      <c r="E31" s="258">
        <v>8</v>
      </c>
      <c r="F31" s="258">
        <v>21</v>
      </c>
      <c r="G31" s="258">
        <v>16</v>
      </c>
      <c r="H31" s="258">
        <v>11</v>
      </c>
      <c r="I31" s="258">
        <v>26</v>
      </c>
      <c r="J31" s="258">
        <v>7</v>
      </c>
      <c r="K31" s="258">
        <v>24</v>
      </c>
      <c r="L31" s="258">
        <v>13</v>
      </c>
      <c r="M31" s="258">
        <v>3</v>
      </c>
      <c r="N31" s="258">
        <v>2</v>
      </c>
      <c r="O31" s="258">
        <v>0</v>
      </c>
      <c r="P31" s="258">
        <f t="shared" si="0"/>
        <v>154</v>
      </c>
      <c r="Q31" s="146" t="str">
        <f>[1]Master!AF31</f>
        <v>IRAQ</v>
      </c>
      <c r="R31" s="55"/>
    </row>
    <row r="32" spans="1:18" ht="15.75" thickBot="1" x14ac:dyDescent="0.3">
      <c r="A32" s="55"/>
      <c r="B32" s="146" t="str">
        <f>[1]Master!AF32</f>
        <v>IVORY COAST</v>
      </c>
      <c r="C32" s="153" t="str">
        <f>[1]Master!AG32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5</v>
      </c>
      <c r="I32" s="258">
        <v>0</v>
      </c>
      <c r="J32" s="258">
        <v>1</v>
      </c>
      <c r="K32" s="258">
        <v>0</v>
      </c>
      <c r="L32" s="258">
        <v>1</v>
      </c>
      <c r="M32" s="258">
        <v>1</v>
      </c>
      <c r="N32" s="258">
        <v>0</v>
      </c>
      <c r="O32" s="258">
        <v>0</v>
      </c>
      <c r="P32" s="258">
        <f t="shared" si="0"/>
        <v>8</v>
      </c>
      <c r="Q32" s="146" t="str">
        <f>[1]Master!AF32</f>
        <v>IVORY COAST</v>
      </c>
      <c r="R32" s="55"/>
    </row>
    <row r="33" spans="1:18" ht="15.75" thickBot="1" x14ac:dyDescent="0.3">
      <c r="A33" s="55"/>
      <c r="B33" s="146" t="str">
        <f>[1]Master!AF33</f>
        <v>JORDAN</v>
      </c>
      <c r="C33" s="153" t="str">
        <f>[1]Master!AG33</f>
        <v>JO</v>
      </c>
      <c r="D33" s="258">
        <v>0</v>
      </c>
      <c r="E33" s="258">
        <v>0</v>
      </c>
      <c r="F33" s="258">
        <v>0</v>
      </c>
      <c r="G33" s="258">
        <v>1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1</v>
      </c>
      <c r="Q33" s="146" t="str">
        <f>[1]Master!AF33</f>
        <v>JORDAN</v>
      </c>
      <c r="R33" s="55"/>
    </row>
    <row r="34" spans="1:18" ht="15.75" thickBot="1" x14ac:dyDescent="0.3">
      <c r="A34" s="55"/>
      <c r="B34" s="146" t="str">
        <f>[1]Master!AF34</f>
        <v>KAZAKHSTAN</v>
      </c>
      <c r="C34" s="153" t="str">
        <f>[1]Master!AG34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146" t="str">
        <f>[1]Master!AF34</f>
        <v>KAZAKHSTAN</v>
      </c>
      <c r="R34" s="55"/>
    </row>
    <row r="35" spans="1:18" ht="15.75" thickBot="1" x14ac:dyDescent="0.3">
      <c r="A35" s="55"/>
      <c r="B35" s="146" t="str">
        <f>[1]Master!AF35</f>
        <v>KENYA</v>
      </c>
      <c r="C35" s="153" t="str">
        <f>[1]Master!AG35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146" t="str">
        <f>[1]Master!AF35</f>
        <v>KENYA</v>
      </c>
      <c r="R35" s="55"/>
    </row>
    <row r="36" spans="1:18" ht="15.75" thickBot="1" x14ac:dyDescent="0.3">
      <c r="A36" s="55"/>
      <c r="B36" s="146" t="str">
        <f>[1]Master!AF36</f>
        <v>LEBANON</v>
      </c>
      <c r="C36" s="153" t="str">
        <f>[1]Master!AG36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146" t="str">
        <f>[1]Master!AF36</f>
        <v>LEBANON</v>
      </c>
      <c r="R36" s="197"/>
    </row>
    <row r="37" spans="1:18" ht="15.75" thickBot="1" x14ac:dyDescent="0.3">
      <c r="A37" s="55"/>
      <c r="B37" s="146" t="str">
        <f>[1]Master!AF37</f>
        <v>LIBERIA</v>
      </c>
      <c r="C37" s="153" t="str">
        <f>[1]Master!AG37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146" t="str">
        <f>[1]Master!AF37</f>
        <v>LIBERIA</v>
      </c>
      <c r="R37" s="197"/>
    </row>
    <row r="38" spans="1:18" ht="15.75" thickBot="1" x14ac:dyDescent="0.3">
      <c r="A38" s="55"/>
      <c r="B38" s="146" t="str">
        <f>[1]Master!AF38</f>
        <v>LIBYA</v>
      </c>
      <c r="C38" s="153" t="str">
        <f>[1]Master!AG38</f>
        <v>LY</v>
      </c>
      <c r="D38" s="258">
        <v>0</v>
      </c>
      <c r="E38" s="258">
        <v>0</v>
      </c>
      <c r="F38" s="258">
        <v>3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3</v>
      </c>
      <c r="Q38" s="146" t="str">
        <f>[1]Master!AF38</f>
        <v>LIBYA</v>
      </c>
      <c r="R38" s="197"/>
    </row>
    <row r="39" spans="1:18" ht="15.75" thickBot="1" x14ac:dyDescent="0.3">
      <c r="A39" s="55"/>
      <c r="B39" s="146" t="str">
        <f>[1]Master!AF39</f>
        <v>MOLDOVA</v>
      </c>
      <c r="C39" s="153" t="str">
        <f>[1]Master!AG39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1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1</v>
      </c>
      <c r="Q39" s="146" t="str">
        <f>[1]Master!AF39</f>
        <v>MOLDOVA</v>
      </c>
      <c r="R39" s="197"/>
    </row>
    <row r="40" spans="1:18" ht="15.75" thickBot="1" x14ac:dyDescent="0.3">
      <c r="A40" s="55"/>
      <c r="B40" s="146" t="str">
        <f>[1]Master!AF40</f>
        <v>MALI</v>
      </c>
      <c r="C40" s="153" t="str">
        <f>[1]Master!AG40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146" t="str">
        <f>[1]Master!AF40</f>
        <v>MALI</v>
      </c>
      <c r="R40" s="197"/>
    </row>
    <row r="41" spans="1:18" ht="15.75" thickBot="1" x14ac:dyDescent="0.3">
      <c r="A41" s="55"/>
      <c r="B41" s="146" t="str">
        <f>[1]Master!AF41</f>
        <v>MALAYSIA</v>
      </c>
      <c r="C41" s="153" t="str">
        <f>[1]Master!AG41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 t="shared" si="0"/>
        <v>0</v>
      </c>
      <c r="Q41" s="146" t="str">
        <f>[1]Master!AF41</f>
        <v>MALAYSIA</v>
      </c>
      <c r="R41" s="197"/>
    </row>
    <row r="42" spans="1:18" ht="15.75" thickBot="1" x14ac:dyDescent="0.3">
      <c r="A42" s="55"/>
      <c r="B42" s="146" t="str">
        <f>[1]Master!AF42</f>
        <v>NAMIBIA</v>
      </c>
      <c r="C42" s="153" t="str">
        <f>[1]Master!AG42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146" t="str">
        <f>[1]Master!AF42</f>
        <v>NAMIBIA</v>
      </c>
      <c r="R42" s="197"/>
    </row>
    <row r="43" spans="1:18" ht="15.75" thickBot="1" x14ac:dyDescent="0.3">
      <c r="A43" s="55"/>
      <c r="B43" s="146" t="str">
        <f>[1]Master!AF43</f>
        <v>NEPAL</v>
      </c>
      <c r="C43" s="153" t="str">
        <f>[1]Master!AG43</f>
        <v>NP</v>
      </c>
      <c r="D43" s="258">
        <v>2</v>
      </c>
      <c r="E43" s="258">
        <v>3</v>
      </c>
      <c r="F43" s="258">
        <v>3</v>
      </c>
      <c r="G43" s="258">
        <v>4</v>
      </c>
      <c r="H43" s="258">
        <v>0</v>
      </c>
      <c r="I43" s="258">
        <v>0</v>
      </c>
      <c r="J43" s="258">
        <v>2</v>
      </c>
      <c r="K43" s="258">
        <v>2</v>
      </c>
      <c r="L43" s="258">
        <v>1</v>
      </c>
      <c r="M43" s="258">
        <v>0</v>
      </c>
      <c r="N43" s="258">
        <v>0</v>
      </c>
      <c r="O43" s="258">
        <v>2</v>
      </c>
      <c r="P43" s="258">
        <f t="shared" si="0"/>
        <v>19</v>
      </c>
      <c r="Q43" s="146" t="str">
        <f>[1]Master!AF43</f>
        <v>NEPAL</v>
      </c>
      <c r="R43" s="197"/>
    </row>
    <row r="44" spans="1:18" ht="15.75" thickBot="1" x14ac:dyDescent="0.3">
      <c r="A44" s="55"/>
      <c r="B44" s="146" t="str">
        <f>[1]Master!AF44</f>
        <v>NIGERIA</v>
      </c>
      <c r="C44" s="153" t="str">
        <f>[1]Master!AG44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1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1</v>
      </c>
      <c r="Q44" s="146" t="str">
        <f>[1]Master!AF44</f>
        <v>NIGERIA</v>
      </c>
      <c r="R44" s="197"/>
    </row>
    <row r="45" spans="1:18" ht="15.75" thickBot="1" x14ac:dyDescent="0.3">
      <c r="A45" s="55"/>
      <c r="B45" s="146" t="str">
        <f>[1]Master!AF45</f>
        <v>PAKISTAN</v>
      </c>
      <c r="C45" s="153" t="str">
        <f>[1]Master!AG45</f>
        <v>PK</v>
      </c>
      <c r="D45" s="258">
        <v>9</v>
      </c>
      <c r="E45" s="258">
        <v>5</v>
      </c>
      <c r="F45" s="258">
        <v>0</v>
      </c>
      <c r="G45" s="258">
        <v>13</v>
      </c>
      <c r="H45" s="258">
        <v>1</v>
      </c>
      <c r="I45" s="258">
        <v>0</v>
      </c>
      <c r="J45" s="258">
        <v>11</v>
      </c>
      <c r="K45" s="258">
        <v>4</v>
      </c>
      <c r="L45" s="258">
        <v>3</v>
      </c>
      <c r="M45" s="258">
        <v>0</v>
      </c>
      <c r="N45" s="258">
        <v>4</v>
      </c>
      <c r="O45" s="258">
        <v>1</v>
      </c>
      <c r="P45" s="258">
        <f t="shared" si="0"/>
        <v>51</v>
      </c>
      <c r="Q45" s="146" t="str">
        <f>[1]Master!AF45</f>
        <v>PAKISTAN</v>
      </c>
      <c r="R45" s="197"/>
    </row>
    <row r="46" spans="1:18" ht="15.75" thickBot="1" x14ac:dyDescent="0.3">
      <c r="A46" s="55"/>
      <c r="B46" s="146" t="str">
        <f>[1]Master!AF46</f>
        <v>PITCAIRN ISLANDS</v>
      </c>
      <c r="C46" s="153" t="str">
        <f>[1]Master!AG46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3</v>
      </c>
      <c r="M46" s="258">
        <v>0</v>
      </c>
      <c r="N46" s="258">
        <v>0</v>
      </c>
      <c r="O46" s="258">
        <v>0</v>
      </c>
      <c r="P46" s="258">
        <f t="shared" si="0"/>
        <v>3</v>
      </c>
      <c r="Q46" s="146" t="str">
        <f>[1]Master!AF46</f>
        <v>PITCAIRN ISLANDS</v>
      </c>
      <c r="R46" s="197"/>
    </row>
    <row r="47" spans="1:18" ht="15.75" thickBot="1" x14ac:dyDescent="0.3">
      <c r="A47" s="55"/>
      <c r="B47" s="146" t="str">
        <f>[1]Master!AF47</f>
        <v>RWANDA</v>
      </c>
      <c r="C47" s="153" t="str">
        <f>[1]Master!AG47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1</v>
      </c>
      <c r="J47" s="258">
        <v>0</v>
      </c>
      <c r="K47" s="258">
        <v>0</v>
      </c>
      <c r="L47" s="258">
        <v>1</v>
      </c>
      <c r="M47" s="258">
        <v>0</v>
      </c>
      <c r="N47" s="258">
        <v>0</v>
      </c>
      <c r="O47" s="258">
        <v>2</v>
      </c>
      <c r="P47" s="258">
        <f t="shared" si="0"/>
        <v>4</v>
      </c>
      <c r="Q47" s="146" t="str">
        <f>[1]Master!AF47</f>
        <v>RWANDA</v>
      </c>
      <c r="R47" s="197"/>
    </row>
    <row r="48" spans="1:18" ht="15.75" thickBot="1" x14ac:dyDescent="0.3">
      <c r="A48" s="55"/>
      <c r="B48" s="146" t="str">
        <f>[1]Master!AF48</f>
        <v>RUSSIA</v>
      </c>
      <c r="C48" s="153" t="str">
        <f>[1]Master!AG48</f>
        <v>RS</v>
      </c>
      <c r="D48" s="258">
        <v>0</v>
      </c>
      <c r="E48" s="258">
        <v>1</v>
      </c>
      <c r="F48" s="258">
        <v>0</v>
      </c>
      <c r="G48" s="258">
        <v>0</v>
      </c>
      <c r="H48" s="258">
        <v>2</v>
      </c>
      <c r="I48" s="258">
        <v>0</v>
      </c>
      <c r="J48" s="258">
        <v>1</v>
      </c>
      <c r="K48" s="258">
        <v>0</v>
      </c>
      <c r="L48" s="258">
        <v>0</v>
      </c>
      <c r="M48" s="258">
        <v>0</v>
      </c>
      <c r="N48" s="258">
        <v>4</v>
      </c>
      <c r="O48" s="258">
        <v>0</v>
      </c>
      <c r="P48" s="258">
        <f t="shared" si="0"/>
        <v>8</v>
      </c>
      <c r="Q48" s="146" t="str">
        <f>[1]Master!AF48</f>
        <v>RUSSIA</v>
      </c>
      <c r="R48" s="197"/>
    </row>
    <row r="49" spans="1:18" ht="15.75" thickBot="1" x14ac:dyDescent="0.3">
      <c r="A49" s="55"/>
      <c r="B49" s="146" t="str">
        <f>[1]Master!AF49</f>
        <v>SIERRA LEON</v>
      </c>
      <c r="C49" s="153" t="str">
        <f>[1]Master!AG49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3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 t="shared" si="0"/>
        <v>3</v>
      </c>
      <c r="Q49" s="146" t="str">
        <f>[1]Master!AF49</f>
        <v>SIERRA LEON</v>
      </c>
      <c r="R49" s="197"/>
    </row>
    <row r="50" spans="1:18" ht="15.75" thickBot="1" x14ac:dyDescent="0.3">
      <c r="A50" s="55"/>
      <c r="B50" s="146" t="str">
        <f>[1]Master!AF50</f>
        <v>SOMALIA</v>
      </c>
      <c r="C50" s="153" t="str">
        <f>[1]Master!AG50</f>
        <v>SO</v>
      </c>
      <c r="D50" s="258">
        <v>45</v>
      </c>
      <c r="E50" s="258">
        <v>39</v>
      </c>
      <c r="F50" s="258">
        <v>33</v>
      </c>
      <c r="G50" s="258">
        <v>3</v>
      </c>
      <c r="H50" s="258">
        <v>15</v>
      </c>
      <c r="I50" s="258">
        <v>11</v>
      </c>
      <c r="J50" s="258">
        <v>2</v>
      </c>
      <c r="K50" s="258">
        <v>5</v>
      </c>
      <c r="L50" s="258">
        <v>18</v>
      </c>
      <c r="M50" s="258">
        <v>16</v>
      </c>
      <c r="N50" s="258">
        <v>1</v>
      </c>
      <c r="O50" s="258">
        <v>11</v>
      </c>
      <c r="P50" s="258">
        <f t="shared" si="0"/>
        <v>199</v>
      </c>
      <c r="Q50" s="146" t="str">
        <f>[1]Master!AF50</f>
        <v>SOMALIA</v>
      </c>
      <c r="R50" s="197"/>
    </row>
    <row r="51" spans="1:18" ht="15.75" thickBot="1" x14ac:dyDescent="0.3">
      <c r="A51" s="55"/>
      <c r="B51" s="146" t="str">
        <f>[1]Master!AF51</f>
        <v>SPAIN</v>
      </c>
      <c r="C51" s="153" t="str">
        <f>[1]Master!AG51</f>
        <v>ES</v>
      </c>
      <c r="D51" s="258">
        <v>0</v>
      </c>
      <c r="E51" s="258">
        <v>0</v>
      </c>
      <c r="F51" s="258">
        <v>2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1</v>
      </c>
      <c r="P51" s="258">
        <f t="shared" si="0"/>
        <v>3</v>
      </c>
      <c r="Q51" s="146" t="str">
        <f>[1]Master!AF51</f>
        <v>SPAIN</v>
      </c>
      <c r="R51" s="197"/>
    </row>
    <row r="52" spans="1:18" ht="15.75" thickBot="1" x14ac:dyDescent="0.3">
      <c r="A52" s="55"/>
      <c r="B52" s="146" t="str">
        <f>[1]Master!AF52</f>
        <v>SOUTH SUDAN</v>
      </c>
      <c r="C52" s="153" t="str">
        <f>[1]Master!AG52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4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4</v>
      </c>
      <c r="Q52" s="146" t="str">
        <f>[1]Master!AF52</f>
        <v>SOUTH SUDAN</v>
      </c>
      <c r="R52" s="55"/>
    </row>
    <row r="53" spans="1:18" ht="15.75" thickBot="1" x14ac:dyDescent="0.3">
      <c r="A53" s="55"/>
      <c r="B53" s="146" t="str">
        <f>[1]Master!AF53</f>
        <v>SRI LANKA</v>
      </c>
      <c r="C53" s="153" t="str">
        <f>[1]Master!AG53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146" t="str">
        <f>[1]Master!AF53</f>
        <v>SRI LANKA</v>
      </c>
      <c r="R53" s="55"/>
    </row>
    <row r="54" spans="1:18" ht="15.75" thickBot="1" x14ac:dyDescent="0.3">
      <c r="A54" s="55"/>
      <c r="B54" s="146" t="str">
        <f>[1]Master!AF54</f>
        <v>SUDAN</v>
      </c>
      <c r="C54" s="153" t="str">
        <f>[1]Master!AG54</f>
        <v>SU</v>
      </c>
      <c r="D54" s="258">
        <v>0</v>
      </c>
      <c r="E54" s="258">
        <v>0</v>
      </c>
      <c r="F54" s="258">
        <v>0</v>
      </c>
      <c r="G54" s="258">
        <v>8</v>
      </c>
      <c r="H54" s="258">
        <v>11</v>
      </c>
      <c r="I54" s="258">
        <v>0</v>
      </c>
      <c r="J54" s="258">
        <v>9</v>
      </c>
      <c r="K54" s="258">
        <v>8</v>
      </c>
      <c r="L54" s="258">
        <v>1</v>
      </c>
      <c r="M54" s="258">
        <v>0</v>
      </c>
      <c r="N54" s="258">
        <v>0</v>
      </c>
      <c r="O54" s="258">
        <v>0</v>
      </c>
      <c r="P54" s="258">
        <f t="shared" si="0"/>
        <v>37</v>
      </c>
      <c r="Q54" s="146" t="str">
        <f>[1]Master!AF54</f>
        <v>SUDAN</v>
      </c>
      <c r="R54" s="55"/>
    </row>
    <row r="55" spans="1:18" ht="15.75" thickBot="1" x14ac:dyDescent="0.3">
      <c r="A55" s="55"/>
      <c r="B55" s="146" t="str">
        <f>[1]Master!AF55</f>
        <v>SYRIA</v>
      </c>
      <c r="C55" s="153" t="str">
        <f>[1]Master!AG55</f>
        <v>SY</v>
      </c>
      <c r="D55" s="258">
        <v>71</v>
      </c>
      <c r="E55" s="258">
        <v>91</v>
      </c>
      <c r="F55" s="258">
        <v>99</v>
      </c>
      <c r="G55" s="258">
        <v>99</v>
      </c>
      <c r="H55" s="258">
        <v>38</v>
      </c>
      <c r="I55" s="258">
        <v>0</v>
      </c>
      <c r="J55" s="258">
        <v>2</v>
      </c>
      <c r="K55" s="258">
        <v>7</v>
      </c>
      <c r="L55" s="258">
        <v>6</v>
      </c>
      <c r="M55" s="258">
        <v>3</v>
      </c>
      <c r="N55" s="258">
        <v>5</v>
      </c>
      <c r="O55" s="258">
        <v>0</v>
      </c>
      <c r="P55" s="258">
        <f t="shared" si="0"/>
        <v>421</v>
      </c>
      <c r="Q55" s="146" t="str">
        <f>[1]Master!AF55</f>
        <v>SYRIA</v>
      </c>
      <c r="R55" s="55"/>
    </row>
    <row r="56" spans="1:18" ht="15.75" thickBot="1" x14ac:dyDescent="0.3">
      <c r="A56" s="55"/>
      <c r="B56" s="146" t="str">
        <f>[1]Master!AF56</f>
        <v>TAJIKISTAN</v>
      </c>
      <c r="C56" s="153" t="str">
        <f>[1]Master!AG56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146" t="str">
        <f>[1]Master!AF56</f>
        <v>TAJIKISTAN</v>
      </c>
      <c r="R56" s="55"/>
    </row>
    <row r="57" spans="1:18" ht="15.75" thickBot="1" x14ac:dyDescent="0.3">
      <c r="A57" s="55"/>
      <c r="B57" s="146" t="str">
        <f>[1]Master!AF57</f>
        <v>TANZANIA</v>
      </c>
      <c r="C57" s="153" t="str">
        <f>[1]Master!AG57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146" t="str">
        <f>[1]Master!AF57</f>
        <v>TANZANIA</v>
      </c>
      <c r="R57" s="55"/>
    </row>
    <row r="58" spans="1:18" ht="15.75" thickBot="1" x14ac:dyDescent="0.3">
      <c r="A58" s="55"/>
      <c r="B58" s="146" t="str">
        <f>[1]Master!AF58</f>
        <v>THAILAND</v>
      </c>
      <c r="C58" s="153" t="str">
        <f>[1]Master!AG58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146" t="str">
        <f>[1]Master!AF58</f>
        <v>THAILAND</v>
      </c>
      <c r="R58" s="55"/>
    </row>
    <row r="59" spans="1:18" ht="15.75" thickBot="1" x14ac:dyDescent="0.3">
      <c r="A59" s="55"/>
      <c r="B59" s="146" t="str">
        <f>[1]Master!AF59</f>
        <v>UGANDA</v>
      </c>
      <c r="C59" s="153" t="str">
        <f>[1]Master!AG59</f>
        <v>UG</v>
      </c>
      <c r="D59" s="258">
        <v>1</v>
      </c>
      <c r="E59" s="258">
        <v>1</v>
      </c>
      <c r="F59" s="258">
        <v>0</v>
      </c>
      <c r="G59" s="258">
        <v>0</v>
      </c>
      <c r="H59" s="258">
        <v>1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3</v>
      </c>
      <c r="Q59" s="146" t="str">
        <f>[1]Master!AF59</f>
        <v>UGANDA</v>
      </c>
      <c r="R59" s="55"/>
    </row>
    <row r="60" spans="1:18" ht="15.75" thickBot="1" x14ac:dyDescent="0.3">
      <c r="A60" s="55"/>
      <c r="B60" s="146" t="str">
        <f>[1]Master!AF60</f>
        <v>UKRAINE</v>
      </c>
      <c r="C60" s="153" t="str">
        <f>[1]Master!AG60</f>
        <v>UP</v>
      </c>
      <c r="D60" s="258">
        <v>29</v>
      </c>
      <c r="E60" s="258">
        <v>18</v>
      </c>
      <c r="F60" s="258">
        <v>22</v>
      </c>
      <c r="G60" s="258">
        <v>26</v>
      </c>
      <c r="H60" s="258">
        <v>7</v>
      </c>
      <c r="I60" s="258">
        <v>8</v>
      </c>
      <c r="J60" s="258">
        <v>5</v>
      </c>
      <c r="K60" s="258">
        <v>31</v>
      </c>
      <c r="L60" s="258">
        <v>14</v>
      </c>
      <c r="M60" s="258">
        <v>0</v>
      </c>
      <c r="N60" s="258">
        <v>8</v>
      </c>
      <c r="O60" s="258">
        <v>11</v>
      </c>
      <c r="P60" s="258">
        <f t="shared" si="0"/>
        <v>179</v>
      </c>
      <c r="Q60" s="146" t="str">
        <f>[1]Master!AF60</f>
        <v>UKRAINE</v>
      </c>
      <c r="R60" s="55"/>
    </row>
    <row r="61" spans="1:18" ht="15.75" thickBot="1" x14ac:dyDescent="0.3">
      <c r="A61" s="55"/>
      <c r="B61" s="146" t="str">
        <f>[1]Master!AF61</f>
        <v>UZBEKISTAN</v>
      </c>
      <c r="C61" s="153" t="str">
        <f>[1]Master!AG61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 t="shared" si="0"/>
        <v>0</v>
      </c>
      <c r="Q61" s="146" t="str">
        <f>[1]Master!AF61</f>
        <v>UZBEKISTAN</v>
      </c>
      <c r="R61" s="55"/>
    </row>
    <row r="62" spans="1:18" ht="15.75" thickBot="1" x14ac:dyDescent="0.3">
      <c r="A62" s="55"/>
      <c r="B62" s="146" t="str">
        <f>[1]Master!AF62</f>
        <v>VIETNAM</v>
      </c>
      <c r="C62" s="153" t="str">
        <f>[1]Master!AG62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0</v>
      </c>
      <c r="P62" s="258">
        <f t="shared" si="0"/>
        <v>0</v>
      </c>
      <c r="Q62" s="146" t="str">
        <f>[1]Master!AF62</f>
        <v>VIETNAM</v>
      </c>
      <c r="R62" s="55"/>
    </row>
    <row r="63" spans="1:18" ht="15.75" thickBot="1" x14ac:dyDescent="0.3">
      <c r="A63" s="55"/>
      <c r="B63" s="146" t="str">
        <f>[1]Master!AF63</f>
        <v>ZAMBIA</v>
      </c>
      <c r="C63" s="153" t="str">
        <f>[1]Master!AG63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 t="shared" si="0"/>
        <v>0</v>
      </c>
      <c r="Q63" s="146" t="str">
        <f>[1]Master!AF63</f>
        <v>ZAMBIA</v>
      </c>
      <c r="R63" s="55"/>
    </row>
    <row r="64" spans="1:18" ht="15.75" thickBot="1" x14ac:dyDescent="0.3">
      <c r="A64" s="55"/>
      <c r="B64" s="245" t="s">
        <v>53</v>
      </c>
      <c r="C64" s="246"/>
      <c r="D64" s="249">
        <f>SUM(D5:D63)</f>
        <v>387</v>
      </c>
      <c r="E64" s="249">
        <f>SUM(E5:E63)</f>
        <v>388</v>
      </c>
      <c r="F64" s="249">
        <f>SUM(F5:F63)</f>
        <v>373</v>
      </c>
      <c r="G64" s="249">
        <f>SUM(G5:G63)</f>
        <v>325</v>
      </c>
      <c r="H64" s="249">
        <f>SUM(H5:H63)</f>
        <v>178</v>
      </c>
      <c r="I64" s="249">
        <f>SUM(I5:I63)</f>
        <v>112</v>
      </c>
      <c r="J64" s="249">
        <f>SUM(J5:J63)</f>
        <v>146</v>
      </c>
      <c r="K64" s="249">
        <f>SUM(K5:K63)</f>
        <v>269</v>
      </c>
      <c r="L64" s="249">
        <v>202</v>
      </c>
      <c r="M64" s="249">
        <v>53</v>
      </c>
      <c r="N64" s="249">
        <v>87</v>
      </c>
      <c r="O64" s="249">
        <f>SUM(O5:O63)</f>
        <v>178</v>
      </c>
      <c r="P64" s="249">
        <f>SUM(P5:P63)</f>
        <v>2698</v>
      </c>
      <c r="Q64" s="240" t="s">
        <v>53</v>
      </c>
      <c r="R64" s="55"/>
    </row>
    <row r="65" spans="1:18" x14ac:dyDescent="0.25">
      <c r="A65" s="55"/>
      <c r="B65" s="50"/>
      <c r="C65" s="1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11"/>
      <c r="R65" s="55"/>
    </row>
    <row r="66" spans="1:18" x14ac:dyDescent="0.25">
      <c r="B66" s="50"/>
      <c r="C66" s="1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11"/>
      <c r="R66" s="55"/>
    </row>
    <row r="67" spans="1:18" x14ac:dyDescent="0.25">
      <c r="B67" s="50"/>
      <c r="C67" s="1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11"/>
    </row>
  </sheetData>
  <mergeCells count="4">
    <mergeCell ref="B2:Q2"/>
    <mergeCell ref="B3:C4"/>
    <mergeCell ref="P3:P4"/>
    <mergeCell ref="Q3:Q4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C48D-9A9A-4882-940E-90765AB5FA88}">
  <dimension ref="A1:R64"/>
  <sheetViews>
    <sheetView workbookViewId="0">
      <selection activeCell="U20" sqref="U20"/>
    </sheetView>
  </sheetViews>
  <sheetFormatPr defaultRowHeight="15" x14ac:dyDescent="0.25"/>
  <cols>
    <col min="1" max="1" width="2" style="263" customWidth="1"/>
    <col min="2" max="2" width="19.28515625" style="263" customWidth="1"/>
    <col min="3" max="3" width="6.140625" style="263" customWidth="1"/>
    <col min="4" max="16" width="9.140625" style="263"/>
    <col min="17" max="17" width="19.28515625" style="263" customWidth="1"/>
    <col min="18" max="16384" width="9.140625" style="263"/>
  </cols>
  <sheetData>
    <row r="1" spans="1:18" ht="10.5" customHeight="1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thickBot="1" x14ac:dyDescent="0.3">
      <c r="A2" s="55"/>
      <c r="B2" s="366" t="s">
        <v>55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  <c r="R2" s="55"/>
    </row>
    <row r="3" spans="1:18" ht="13.5" customHeight="1" thickBot="1" x14ac:dyDescent="0.3">
      <c r="A3" s="55"/>
      <c r="B3" s="369"/>
      <c r="C3" s="370"/>
      <c r="D3" s="318" t="s">
        <v>19</v>
      </c>
      <c r="E3" s="318" t="s">
        <v>20</v>
      </c>
      <c r="F3" s="318" t="s">
        <v>21</v>
      </c>
      <c r="G3" s="318" t="s">
        <v>22</v>
      </c>
      <c r="H3" s="318" t="s">
        <v>23</v>
      </c>
      <c r="I3" s="318" t="s">
        <v>24</v>
      </c>
      <c r="J3" s="318" t="s">
        <v>25</v>
      </c>
      <c r="K3" s="318" t="s">
        <v>26</v>
      </c>
      <c r="L3" s="318" t="s">
        <v>27</v>
      </c>
      <c r="M3" s="318" t="s">
        <v>28</v>
      </c>
      <c r="N3" s="318" t="s">
        <v>29</v>
      </c>
      <c r="O3" s="318" t="s">
        <v>30</v>
      </c>
      <c r="P3" s="377" t="s">
        <v>40</v>
      </c>
      <c r="Q3" s="375"/>
      <c r="R3" s="55"/>
    </row>
    <row r="4" spans="1:18" ht="13.5" customHeight="1" thickBot="1" x14ac:dyDescent="0.3">
      <c r="A4" s="55"/>
      <c r="B4" s="371"/>
      <c r="C4" s="372"/>
      <c r="D4" s="241">
        <v>10</v>
      </c>
      <c r="E4" s="253">
        <v>11</v>
      </c>
      <c r="F4" s="253">
        <v>12</v>
      </c>
      <c r="G4" s="253">
        <v>1</v>
      </c>
      <c r="H4" s="253">
        <v>2</v>
      </c>
      <c r="I4" s="253">
        <v>3</v>
      </c>
      <c r="J4" s="253">
        <v>4</v>
      </c>
      <c r="K4" s="253">
        <v>5</v>
      </c>
      <c r="L4" s="253">
        <v>6</v>
      </c>
      <c r="M4" s="253">
        <v>7</v>
      </c>
      <c r="N4" s="253">
        <v>8</v>
      </c>
      <c r="O4" s="253">
        <v>9</v>
      </c>
      <c r="P4" s="378"/>
      <c r="Q4" s="376"/>
      <c r="R4" s="55"/>
    </row>
    <row r="5" spans="1:18" ht="15.75" thickBot="1" x14ac:dyDescent="0.3">
      <c r="A5" s="55"/>
      <c r="B5" s="242" t="str">
        <f>[1]Master!AF7</f>
        <v>AFGHANISTAN</v>
      </c>
      <c r="C5" s="241" t="str">
        <f>[1]Master!AG7</f>
        <v>AF</v>
      </c>
      <c r="D5" s="258">
        <v>0</v>
      </c>
      <c r="E5" s="258">
        <v>0</v>
      </c>
      <c r="F5" s="258">
        <v>0</v>
      </c>
      <c r="G5" s="258">
        <v>3</v>
      </c>
      <c r="H5" s="258">
        <v>0</v>
      </c>
      <c r="I5" s="258">
        <v>0</v>
      </c>
      <c r="J5" s="258">
        <v>0</v>
      </c>
      <c r="K5" s="258">
        <v>4</v>
      </c>
      <c r="L5" s="258">
        <v>4</v>
      </c>
      <c r="M5" s="258">
        <v>3</v>
      </c>
      <c r="N5" s="258">
        <v>5</v>
      </c>
      <c r="O5" s="258">
        <v>19</v>
      </c>
      <c r="P5" s="258">
        <f>SUM(D5:O5)</f>
        <v>38</v>
      </c>
      <c r="Q5" s="242" t="str">
        <f>[1]Master!AF7</f>
        <v>AFGHANISTAN</v>
      </c>
      <c r="R5" s="55"/>
    </row>
    <row r="6" spans="1:18" ht="15.75" thickBot="1" x14ac:dyDescent="0.3">
      <c r="A6" s="55"/>
      <c r="B6" s="242" t="str">
        <f>[1]Master!AF8</f>
        <v>ARMENIA</v>
      </c>
      <c r="C6" s="241" t="str">
        <f>[1]Master!AG8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242" t="str">
        <f>[1]Master!AF8</f>
        <v>ARMENIA</v>
      </c>
      <c r="R6" s="55"/>
    </row>
    <row r="7" spans="1:18" ht="15.75" thickBot="1" x14ac:dyDescent="0.3">
      <c r="A7" s="55"/>
      <c r="B7" s="242" t="s">
        <v>780</v>
      </c>
      <c r="C7" s="241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242" t="s">
        <v>780</v>
      </c>
      <c r="R7" s="55"/>
    </row>
    <row r="8" spans="1:18" ht="15.75" thickBot="1" x14ac:dyDescent="0.3">
      <c r="A8" s="55"/>
      <c r="B8" s="242" t="str">
        <f>[1]Master!AF9</f>
        <v>BELARUS</v>
      </c>
      <c r="C8" s="241" t="str">
        <f>[1]Master!AG9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0</v>
      </c>
      <c r="Q8" s="242" t="str">
        <f>[1]Master!AF9</f>
        <v>BELARUS</v>
      </c>
      <c r="R8" s="55"/>
    </row>
    <row r="9" spans="1:18" ht="15.75" thickBot="1" x14ac:dyDescent="0.3">
      <c r="A9" s="55"/>
      <c r="B9" s="242" t="str">
        <f>[1]Master!AF10</f>
        <v>BURMA</v>
      </c>
      <c r="C9" s="241" t="str">
        <f>[1]Master!AG10</f>
        <v>BM</v>
      </c>
      <c r="D9" s="258">
        <v>5</v>
      </c>
      <c r="E9" s="258">
        <v>3</v>
      </c>
      <c r="F9" s="258">
        <v>3</v>
      </c>
      <c r="G9" s="258">
        <v>0</v>
      </c>
      <c r="H9" s="258">
        <v>0</v>
      </c>
      <c r="I9" s="258">
        <v>4</v>
      </c>
      <c r="J9" s="258">
        <v>4</v>
      </c>
      <c r="K9" s="258">
        <v>0</v>
      </c>
      <c r="L9" s="258">
        <v>4</v>
      </c>
      <c r="M9" s="258">
        <v>0</v>
      </c>
      <c r="N9" s="258">
        <v>0</v>
      </c>
      <c r="O9" s="258">
        <v>12</v>
      </c>
      <c r="P9" s="258">
        <f t="shared" si="0"/>
        <v>35</v>
      </c>
      <c r="Q9" s="242" t="str">
        <f>[1]Master!AF10</f>
        <v>BURMA</v>
      </c>
      <c r="R9" s="55"/>
    </row>
    <row r="10" spans="1:18" ht="15.75" thickBot="1" x14ac:dyDescent="0.3">
      <c r="A10" s="55"/>
      <c r="B10" s="242" t="str">
        <f>[1]Master!AF11</f>
        <v>BHUTAN</v>
      </c>
      <c r="C10" s="241" t="str">
        <f>[1]Master!AG11</f>
        <v>BT</v>
      </c>
      <c r="D10" s="258">
        <v>31</v>
      </c>
      <c r="E10" s="258">
        <v>10</v>
      </c>
      <c r="F10" s="258">
        <v>22</v>
      </c>
      <c r="G10" s="258">
        <v>23</v>
      </c>
      <c r="H10" s="258">
        <v>0</v>
      </c>
      <c r="I10" s="258">
        <v>10</v>
      </c>
      <c r="J10" s="258">
        <v>6</v>
      </c>
      <c r="K10" s="258">
        <v>16</v>
      </c>
      <c r="L10" s="258">
        <v>8</v>
      </c>
      <c r="M10" s="258">
        <v>6</v>
      </c>
      <c r="N10" s="258">
        <v>8</v>
      </c>
      <c r="O10" s="258">
        <v>0</v>
      </c>
      <c r="P10" s="258">
        <f t="shared" si="0"/>
        <v>140</v>
      </c>
      <c r="Q10" s="242" t="str">
        <f>[1]Master!AF11</f>
        <v>BHUTAN</v>
      </c>
      <c r="R10" s="55"/>
    </row>
    <row r="11" spans="1:18" ht="15.75" thickBot="1" x14ac:dyDescent="0.3">
      <c r="A11" s="55"/>
      <c r="B11" s="242" t="s">
        <v>779</v>
      </c>
      <c r="C11" s="241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242" t="s">
        <v>779</v>
      </c>
      <c r="R11" s="55"/>
    </row>
    <row r="12" spans="1:18" ht="15.75" thickBot="1" x14ac:dyDescent="0.3">
      <c r="A12" s="55"/>
      <c r="B12" s="242" t="str">
        <f>[1]Master!AF12</f>
        <v>BURUNDI</v>
      </c>
      <c r="C12" s="241" t="str">
        <f>[1]Master!AG12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242" t="str">
        <f>[1]Master!AF12</f>
        <v>BURUNDI</v>
      </c>
      <c r="R12" s="55"/>
    </row>
    <row r="13" spans="1:18" ht="15.75" thickBot="1" x14ac:dyDescent="0.3">
      <c r="A13" s="55"/>
      <c r="B13" s="242" t="str">
        <f>[1]Master!AF13</f>
        <v>CAMEROUN</v>
      </c>
      <c r="C13" s="241" t="str">
        <f>[1]Master!AG13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242" t="str">
        <f>[1]Master!AF13</f>
        <v>CAMEROUN</v>
      </c>
      <c r="R13" s="55"/>
    </row>
    <row r="14" spans="1:18" ht="15.75" thickBot="1" x14ac:dyDescent="0.3">
      <c r="A14" s="55"/>
      <c r="B14" s="242" t="str">
        <f>[1]Master!AF14</f>
        <v>CENTRAL AFR REP</v>
      </c>
      <c r="C14" s="241" t="str">
        <f>[1]Master!AG14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7</v>
      </c>
      <c r="P14" s="258">
        <f t="shared" si="0"/>
        <v>7</v>
      </c>
      <c r="Q14" s="242" t="str">
        <f>[1]Master!AF14</f>
        <v>CENTRAL AFR REP</v>
      </c>
      <c r="R14" s="55"/>
    </row>
    <row r="15" spans="1:18" ht="15.75" thickBot="1" x14ac:dyDescent="0.3">
      <c r="A15" s="55"/>
      <c r="B15" s="242" t="str">
        <f>[1]Master!AF15</f>
        <v>CHINA</v>
      </c>
      <c r="C15" s="241" t="str">
        <f>[1]Master!AG15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242" t="str">
        <f>[1]Master!AF15</f>
        <v>CHINA</v>
      </c>
      <c r="R15" s="55"/>
    </row>
    <row r="16" spans="1:18" ht="15.75" thickBot="1" x14ac:dyDescent="0.3">
      <c r="A16" s="55"/>
      <c r="B16" s="242" t="str">
        <f>[1]Master!AF16</f>
        <v>DEM REP OF CONGO</v>
      </c>
      <c r="C16" s="241" t="str">
        <f>[1]Master!AG16</f>
        <v>CG</v>
      </c>
      <c r="D16" s="258">
        <v>5</v>
      </c>
      <c r="E16" s="258">
        <v>22</v>
      </c>
      <c r="F16" s="258">
        <v>0</v>
      </c>
      <c r="G16" s="258">
        <v>7</v>
      </c>
      <c r="H16" s="258">
        <v>2</v>
      </c>
      <c r="I16" s="258">
        <v>5</v>
      </c>
      <c r="J16" s="258">
        <v>0</v>
      </c>
      <c r="K16" s="258">
        <v>4</v>
      </c>
      <c r="L16" s="258">
        <v>19</v>
      </c>
      <c r="M16" s="258">
        <v>0</v>
      </c>
      <c r="N16" s="258">
        <v>0</v>
      </c>
      <c r="O16" s="258">
        <v>0</v>
      </c>
      <c r="P16" s="258">
        <f t="shared" si="0"/>
        <v>64</v>
      </c>
      <c r="Q16" s="242" t="str">
        <f>[1]Master!AF16</f>
        <v>DEM REP OF CONGO</v>
      </c>
      <c r="R16" s="55"/>
    </row>
    <row r="17" spans="1:18" ht="15.75" thickBot="1" x14ac:dyDescent="0.3">
      <c r="A17" s="55"/>
      <c r="B17" s="242" t="str">
        <f>[1]Master!AF17</f>
        <v>COLUMBIA</v>
      </c>
      <c r="C17" s="241" t="str">
        <f>[1]Master!AG17</f>
        <v>CO</v>
      </c>
      <c r="D17" s="258">
        <v>5</v>
      </c>
      <c r="E17" s="258">
        <v>0</v>
      </c>
      <c r="F17" s="258">
        <v>0</v>
      </c>
      <c r="G17" s="258">
        <v>3</v>
      </c>
      <c r="H17" s="258">
        <v>0</v>
      </c>
      <c r="I17" s="258">
        <v>0</v>
      </c>
      <c r="J17" s="258">
        <v>0</v>
      </c>
      <c r="K17" s="258">
        <v>2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10</v>
      </c>
      <c r="Q17" s="242" t="str">
        <f>[1]Master!AF17</f>
        <v>COLUMBIA</v>
      </c>
      <c r="R17" s="55"/>
    </row>
    <row r="18" spans="1:18" ht="15.75" thickBot="1" x14ac:dyDescent="0.3">
      <c r="A18" s="55"/>
      <c r="B18" s="242" t="str">
        <f>[1]Master!AF18</f>
        <v>CONGO</v>
      </c>
      <c r="C18" s="241" t="str">
        <f>[1]Master!AG18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242" t="str">
        <f>[1]Master!AF18</f>
        <v>CONGO</v>
      </c>
      <c r="R18" s="55"/>
    </row>
    <row r="19" spans="1:18" ht="15.75" thickBot="1" x14ac:dyDescent="0.3">
      <c r="A19" s="55"/>
      <c r="B19" s="242" t="str">
        <f>[1]Master!AF19</f>
        <v>CUBA</v>
      </c>
      <c r="C19" s="241" t="str">
        <f>[1]Master!AG19</f>
        <v>CU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f t="shared" si="0"/>
        <v>0</v>
      </c>
      <c r="Q19" s="242" t="str">
        <f>[1]Master!AF19</f>
        <v>CUBA</v>
      </c>
      <c r="R19" s="55"/>
    </row>
    <row r="20" spans="1:18" ht="15.75" thickBot="1" x14ac:dyDescent="0.3">
      <c r="A20" s="55"/>
      <c r="B20" s="242" t="str">
        <f>[1]Master!AF20</f>
        <v>CUBAN ENTRANT</v>
      </c>
      <c r="C20" s="241" t="str">
        <f>[1]Master!AG20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242" t="str">
        <f>[1]Master!AF20</f>
        <v>CUBAN ENTRANT</v>
      </c>
      <c r="R20" s="55"/>
    </row>
    <row r="21" spans="1:18" ht="15.75" thickBot="1" x14ac:dyDescent="0.3">
      <c r="A21" s="55"/>
      <c r="B21" s="242" t="str">
        <f>[1]Master!AF21</f>
        <v>ECUADOR</v>
      </c>
      <c r="C21" s="241" t="str">
        <f>[1]Master!AG21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242" t="str">
        <f>[1]Master!AF21</f>
        <v>ECUADOR</v>
      </c>
      <c r="R21" s="55"/>
    </row>
    <row r="22" spans="1:18" ht="15.75" thickBot="1" x14ac:dyDescent="0.3">
      <c r="A22" s="55"/>
      <c r="B22" s="242" t="str">
        <f>[1]Master!AF22</f>
        <v>EGYPT</v>
      </c>
      <c r="C22" s="241" t="str">
        <f>[1]Master!AG22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242" t="str">
        <f>[1]Master!AF22</f>
        <v>EGYPT</v>
      </c>
      <c r="R22" s="55"/>
    </row>
    <row r="23" spans="1:18" ht="15.75" thickBot="1" x14ac:dyDescent="0.3">
      <c r="A23" s="55"/>
      <c r="B23" s="242" t="str">
        <f>[1]Master!AF23</f>
        <v>ERITREA</v>
      </c>
      <c r="C23" s="241" t="str">
        <f>[1]Master!AG23</f>
        <v>ER</v>
      </c>
      <c r="D23" s="258">
        <v>0</v>
      </c>
      <c r="E23" s="258">
        <v>0</v>
      </c>
      <c r="F23" s="258">
        <v>0</v>
      </c>
      <c r="G23" s="258">
        <v>2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f t="shared" si="0"/>
        <v>2</v>
      </c>
      <c r="Q23" s="242" t="str">
        <f>[1]Master!AF23</f>
        <v>ERITREA</v>
      </c>
      <c r="R23" s="55"/>
    </row>
    <row r="24" spans="1:18" ht="15.75" thickBot="1" x14ac:dyDescent="0.3">
      <c r="A24" s="55"/>
      <c r="B24" s="242" t="str">
        <f>[1]Master!AF24</f>
        <v>ETHIOPIA</v>
      </c>
      <c r="C24" s="241" t="str">
        <f>[1]Master!AG24</f>
        <v>ET</v>
      </c>
      <c r="D24" s="258">
        <v>2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f t="shared" si="0"/>
        <v>2</v>
      </c>
      <c r="Q24" s="242" t="str">
        <f>[1]Master!AF24</f>
        <v>ETHIOPIA</v>
      </c>
      <c r="R24" s="55"/>
    </row>
    <row r="25" spans="1:18" ht="15.75" thickBot="1" x14ac:dyDescent="0.3">
      <c r="A25" s="55"/>
      <c r="B25" s="242" t="str">
        <f>[1]Master!AF25</f>
        <v>FRANCE</v>
      </c>
      <c r="C25" s="241" t="str">
        <f>[1]Master!AG25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242" t="str">
        <f>[1]Master!AF25</f>
        <v>FRANCE</v>
      </c>
      <c r="R25" s="55"/>
    </row>
    <row r="26" spans="1:18" ht="15.75" thickBot="1" x14ac:dyDescent="0.3">
      <c r="A26" s="55"/>
      <c r="B26" s="242" t="str">
        <f>[1]Master!AF26</f>
        <v>GUINEA</v>
      </c>
      <c r="C26" s="241" t="str">
        <f>[1]Master!AG26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0</v>
      </c>
      <c r="Q26" s="242" t="str">
        <f>[1]Master!AF26</f>
        <v>GUINEA</v>
      </c>
      <c r="R26" s="55"/>
    </row>
    <row r="27" spans="1:18" ht="15.75" thickBot="1" x14ac:dyDescent="0.3">
      <c r="A27" s="55"/>
      <c r="B27" s="242" t="str">
        <f>[1]Master!AF27</f>
        <v>HAITI</v>
      </c>
      <c r="C27" s="241" t="str">
        <f>[1]Master!AG27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f t="shared" si="0"/>
        <v>0</v>
      </c>
      <c r="Q27" s="242" t="str">
        <f>[1]Master!AF27</f>
        <v>HAITI</v>
      </c>
      <c r="R27" s="55"/>
    </row>
    <row r="28" spans="1:18" ht="15.75" thickBot="1" x14ac:dyDescent="0.3">
      <c r="A28" s="55"/>
      <c r="B28" s="242" t="str">
        <f>[1]Master!AF28</f>
        <v>INDIA</v>
      </c>
      <c r="C28" s="241" t="str">
        <f>[1]Master!AG28</f>
        <v>IN</v>
      </c>
      <c r="D28" s="258">
        <v>1</v>
      </c>
      <c r="E28" s="258">
        <v>0</v>
      </c>
      <c r="F28" s="258">
        <v>1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1</v>
      </c>
      <c r="O28" s="258">
        <v>0</v>
      </c>
      <c r="P28" s="258">
        <f t="shared" si="0"/>
        <v>3</v>
      </c>
      <c r="Q28" s="242" t="str">
        <f>[1]Master!AF28</f>
        <v>INDIA</v>
      </c>
      <c r="R28" s="55"/>
    </row>
    <row r="29" spans="1:18" ht="15.75" thickBot="1" x14ac:dyDescent="0.3">
      <c r="A29" s="55"/>
      <c r="B29" s="242" t="str">
        <f>[1]Master!AF29</f>
        <v>INDONESIA</v>
      </c>
      <c r="C29" s="241" t="str">
        <f>[1]Master!AG29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0</v>
      </c>
      <c r="Q29" s="242" t="str">
        <f>[1]Master!AF29</f>
        <v>INDONESIA</v>
      </c>
      <c r="R29" s="55"/>
    </row>
    <row r="30" spans="1:18" ht="15.75" thickBot="1" x14ac:dyDescent="0.3">
      <c r="A30" s="55"/>
      <c r="B30" s="242" t="str">
        <f>[1]Master!AF30</f>
        <v>IRAN</v>
      </c>
      <c r="C30" s="241" t="str">
        <f>[1]Master!AG30</f>
        <v>IR</v>
      </c>
      <c r="D30" s="258">
        <v>0</v>
      </c>
      <c r="E30" s="258">
        <v>0</v>
      </c>
      <c r="F30" s="258">
        <v>0</v>
      </c>
      <c r="G30" s="258">
        <v>1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 t="shared" si="0"/>
        <v>1</v>
      </c>
      <c r="Q30" s="242" t="str">
        <f>[1]Master!AF30</f>
        <v>IRAN</v>
      </c>
      <c r="R30" s="55"/>
    </row>
    <row r="31" spans="1:18" ht="15.75" thickBot="1" x14ac:dyDescent="0.3">
      <c r="A31" s="55"/>
      <c r="B31" s="242" t="str">
        <f>[1]Master!AF31</f>
        <v>IRAQ</v>
      </c>
      <c r="C31" s="241" t="str">
        <f>[1]Master!AG31</f>
        <v>IZ</v>
      </c>
      <c r="D31" s="258">
        <v>11</v>
      </c>
      <c r="E31" s="258">
        <v>5</v>
      </c>
      <c r="F31" s="258">
        <v>2</v>
      </c>
      <c r="G31" s="258">
        <v>4</v>
      </c>
      <c r="H31" s="258">
        <v>0</v>
      </c>
      <c r="I31" s="258">
        <v>1</v>
      </c>
      <c r="J31" s="258">
        <v>1</v>
      </c>
      <c r="K31" s="258">
        <v>14</v>
      </c>
      <c r="L31" s="258">
        <v>0</v>
      </c>
      <c r="M31" s="258">
        <v>3</v>
      </c>
      <c r="N31" s="258">
        <v>0</v>
      </c>
      <c r="O31" s="258">
        <v>0</v>
      </c>
      <c r="P31" s="258">
        <f t="shared" si="0"/>
        <v>41</v>
      </c>
      <c r="Q31" s="242" t="str">
        <f>[1]Master!AF31</f>
        <v>IRAQ</v>
      </c>
      <c r="R31" s="55"/>
    </row>
    <row r="32" spans="1:18" ht="15.75" thickBot="1" x14ac:dyDescent="0.3">
      <c r="A32" s="55"/>
      <c r="B32" s="242" t="str">
        <f>[1]Master!AF32</f>
        <v>IVORY COAST</v>
      </c>
      <c r="C32" s="241" t="str">
        <f>[1]Master!AG32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 t="shared" si="0"/>
        <v>0</v>
      </c>
      <c r="Q32" s="242" t="str">
        <f>[1]Master!AF32</f>
        <v>IVORY COAST</v>
      </c>
      <c r="R32" s="55"/>
    </row>
    <row r="33" spans="1:18" ht="15.75" thickBot="1" x14ac:dyDescent="0.3">
      <c r="A33" s="55"/>
      <c r="B33" s="242" t="str">
        <f>[1]Master!AF33</f>
        <v>JORDAN</v>
      </c>
      <c r="C33" s="241" t="str">
        <f>[1]Master!AG33</f>
        <v>JO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0</v>
      </c>
      <c r="Q33" s="242" t="str">
        <f>[1]Master!AF33</f>
        <v>JORDAN</v>
      </c>
      <c r="R33" s="55"/>
    </row>
    <row r="34" spans="1:18" ht="15.75" thickBot="1" x14ac:dyDescent="0.3">
      <c r="A34" s="55"/>
      <c r="B34" s="242" t="str">
        <f>[1]Master!AF34</f>
        <v>KAZAKHSTAN</v>
      </c>
      <c r="C34" s="241" t="str">
        <f>[1]Master!AG34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242" t="str">
        <f>[1]Master!AF34</f>
        <v>KAZAKHSTAN</v>
      </c>
      <c r="R34" s="55"/>
    </row>
    <row r="35" spans="1:18" ht="15.75" thickBot="1" x14ac:dyDescent="0.3">
      <c r="A35" s="55"/>
      <c r="B35" s="242" t="str">
        <f>[1]Master!AF35</f>
        <v>KENYA</v>
      </c>
      <c r="C35" s="241" t="str">
        <f>[1]Master!AG35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242" t="str">
        <f>[1]Master!AF35</f>
        <v>KENYA</v>
      </c>
      <c r="R35" s="55"/>
    </row>
    <row r="36" spans="1:18" ht="15.75" thickBot="1" x14ac:dyDescent="0.3">
      <c r="A36" s="55"/>
      <c r="B36" s="242" t="str">
        <f>[1]Master!AF36</f>
        <v>LEBANON</v>
      </c>
      <c r="C36" s="241" t="str">
        <f>[1]Master!AG36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242" t="str">
        <f>[1]Master!AF36</f>
        <v>LEBANON</v>
      </c>
      <c r="R36" s="55"/>
    </row>
    <row r="37" spans="1:18" ht="15.75" thickBot="1" x14ac:dyDescent="0.3">
      <c r="A37" s="55"/>
      <c r="B37" s="242" t="str">
        <f>[1]Master!AF37</f>
        <v>LIBERIA</v>
      </c>
      <c r="C37" s="241" t="str">
        <f>[1]Master!AG37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242" t="str">
        <f>[1]Master!AF37</f>
        <v>LIBERIA</v>
      </c>
      <c r="R37" s="55"/>
    </row>
    <row r="38" spans="1:18" ht="15.75" thickBot="1" x14ac:dyDescent="0.3">
      <c r="A38" s="55"/>
      <c r="B38" s="242" t="str">
        <f>[1]Master!AF38</f>
        <v>LIBYA</v>
      </c>
      <c r="C38" s="241" t="str">
        <f>[1]Master!AG38</f>
        <v>LY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0</v>
      </c>
      <c r="Q38" s="242" t="str">
        <f>[1]Master!AF38</f>
        <v>LIBYA</v>
      </c>
      <c r="R38" s="55"/>
    </row>
    <row r="39" spans="1:18" ht="15.75" thickBot="1" x14ac:dyDescent="0.3">
      <c r="A39" s="55"/>
      <c r="B39" s="242" t="str">
        <f>[1]Master!AF39</f>
        <v>MOLDOVA</v>
      </c>
      <c r="C39" s="241" t="str">
        <f>[1]Master!AG39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0</v>
      </c>
      <c r="Q39" s="242" t="str">
        <f>[1]Master!AF39</f>
        <v>MOLDOVA</v>
      </c>
      <c r="R39" s="55"/>
    </row>
    <row r="40" spans="1:18" ht="15.75" thickBot="1" x14ac:dyDescent="0.3">
      <c r="A40" s="55"/>
      <c r="B40" s="242" t="str">
        <f>[1]Master!AF40</f>
        <v>MALI</v>
      </c>
      <c r="C40" s="241" t="str">
        <f>[1]Master!AG40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242" t="str">
        <f>[1]Master!AF40</f>
        <v>MALI</v>
      </c>
      <c r="R40" s="55"/>
    </row>
    <row r="41" spans="1:18" ht="15.75" thickBot="1" x14ac:dyDescent="0.3">
      <c r="A41" s="55"/>
      <c r="B41" s="242" t="str">
        <f>[1]Master!AF41</f>
        <v>MALAYSIA</v>
      </c>
      <c r="C41" s="241" t="str">
        <f>[1]Master!AG41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 t="shared" si="0"/>
        <v>0</v>
      </c>
      <c r="Q41" s="242" t="str">
        <f>[1]Master!AF41</f>
        <v>MALAYSIA</v>
      </c>
      <c r="R41" s="55"/>
    </row>
    <row r="42" spans="1:18" ht="15.75" thickBot="1" x14ac:dyDescent="0.3">
      <c r="A42" s="55">
        <v>0</v>
      </c>
      <c r="B42" s="242" t="str">
        <f>[1]Master!AF42</f>
        <v>NAMIBIA</v>
      </c>
      <c r="C42" s="241" t="str">
        <f>[1]Master!AG42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242" t="str">
        <f>[1]Master!AF42</f>
        <v>NAMIBIA</v>
      </c>
      <c r="R42" s="55"/>
    </row>
    <row r="43" spans="1:18" ht="15.75" thickBot="1" x14ac:dyDescent="0.3">
      <c r="A43" s="55"/>
      <c r="B43" s="242" t="str">
        <f>[1]Master!AF43</f>
        <v>NEPAL</v>
      </c>
      <c r="C43" s="241" t="str">
        <f>[1]Master!AG43</f>
        <v>NP</v>
      </c>
      <c r="D43" s="258">
        <v>2</v>
      </c>
      <c r="E43" s="258">
        <v>1</v>
      </c>
      <c r="F43" s="258">
        <v>2</v>
      </c>
      <c r="G43" s="258">
        <v>3</v>
      </c>
      <c r="H43" s="258">
        <v>0</v>
      </c>
      <c r="I43" s="258">
        <v>0</v>
      </c>
      <c r="J43" s="258">
        <v>0</v>
      </c>
      <c r="K43" s="258">
        <v>1</v>
      </c>
      <c r="L43" s="258">
        <v>1</v>
      </c>
      <c r="M43" s="258">
        <v>0</v>
      </c>
      <c r="N43" s="258">
        <v>0</v>
      </c>
      <c r="O43" s="258">
        <v>0</v>
      </c>
      <c r="P43" s="258">
        <f t="shared" si="0"/>
        <v>10</v>
      </c>
      <c r="Q43" s="242" t="str">
        <f>[1]Master!AF43</f>
        <v>NEPAL</v>
      </c>
      <c r="R43" s="55"/>
    </row>
    <row r="44" spans="1:18" ht="15.75" thickBot="1" x14ac:dyDescent="0.3">
      <c r="A44" s="55"/>
      <c r="B44" s="242" t="str">
        <f>[1]Master!AF44</f>
        <v>NIGERIA</v>
      </c>
      <c r="C44" s="241" t="str">
        <f>[1]Master!AG44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242" t="str">
        <f>[1]Master!AF44</f>
        <v>NIGERIA</v>
      </c>
      <c r="R44" s="55"/>
    </row>
    <row r="45" spans="1:18" ht="15.75" thickBot="1" x14ac:dyDescent="0.3">
      <c r="A45" s="55"/>
      <c r="B45" s="242" t="str">
        <f>[1]Master!AF45</f>
        <v>PAKISTAN</v>
      </c>
      <c r="C45" s="241" t="str">
        <f>[1]Master!AG45</f>
        <v>PK</v>
      </c>
      <c r="D45" s="258">
        <v>0</v>
      </c>
      <c r="E45" s="258">
        <v>0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 t="shared" si="0"/>
        <v>0</v>
      </c>
      <c r="Q45" s="242" t="str">
        <f>[1]Master!AF45</f>
        <v>PAKISTAN</v>
      </c>
      <c r="R45" s="55"/>
    </row>
    <row r="46" spans="1:18" ht="15.75" thickBot="1" x14ac:dyDescent="0.3">
      <c r="A46" s="55"/>
      <c r="B46" s="242" t="str">
        <f>[1]Master!AF46</f>
        <v>PITCAIRN ISLANDS</v>
      </c>
      <c r="C46" s="241" t="str">
        <f>[1]Master!AG46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 t="shared" si="0"/>
        <v>0</v>
      </c>
      <c r="Q46" s="242" t="str">
        <f>[1]Master!AF46</f>
        <v>PITCAIRN ISLANDS</v>
      </c>
      <c r="R46" s="55"/>
    </row>
    <row r="47" spans="1:18" ht="15.75" thickBot="1" x14ac:dyDescent="0.3">
      <c r="A47" s="55"/>
      <c r="B47" s="242" t="str">
        <f>[1]Master!AF47</f>
        <v>RWANDA</v>
      </c>
      <c r="C47" s="241" t="str">
        <f>[1]Master!AG47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f t="shared" si="0"/>
        <v>0</v>
      </c>
      <c r="Q47" s="242" t="str">
        <f>[1]Master!AF47</f>
        <v>RWANDA</v>
      </c>
      <c r="R47" s="55"/>
    </row>
    <row r="48" spans="1:18" ht="15.75" thickBot="1" x14ac:dyDescent="0.3">
      <c r="A48" s="55"/>
      <c r="B48" s="242" t="str">
        <f>[1]Master!AF48</f>
        <v>RUSSIA</v>
      </c>
      <c r="C48" s="241" t="str">
        <f>[1]Master!AG48</f>
        <v>RS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1</v>
      </c>
      <c r="K48" s="258">
        <v>0</v>
      </c>
      <c r="L48" s="258">
        <v>0</v>
      </c>
      <c r="M48" s="258">
        <v>0</v>
      </c>
      <c r="N48" s="258">
        <v>4</v>
      </c>
      <c r="O48" s="258">
        <v>0</v>
      </c>
      <c r="P48" s="258">
        <f t="shared" si="0"/>
        <v>5</v>
      </c>
      <c r="Q48" s="242" t="str">
        <f>[1]Master!AF48</f>
        <v>RUSSIA</v>
      </c>
      <c r="R48" s="55"/>
    </row>
    <row r="49" spans="1:18" ht="15.75" thickBot="1" x14ac:dyDescent="0.3">
      <c r="A49" s="55"/>
      <c r="B49" s="242" t="str">
        <f>[1]Master!AF49</f>
        <v>SIERRA LEON</v>
      </c>
      <c r="C49" s="241" t="str">
        <f>[1]Master!AG49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 t="shared" si="0"/>
        <v>0</v>
      </c>
      <c r="Q49" s="242" t="str">
        <f>[1]Master!AF49</f>
        <v>SIERRA LEON</v>
      </c>
      <c r="R49" s="55"/>
    </row>
    <row r="50" spans="1:18" ht="15.75" thickBot="1" x14ac:dyDescent="0.3">
      <c r="A50" s="55"/>
      <c r="B50" s="242" t="str">
        <f>[1]Master!AF50</f>
        <v>SOMALIA</v>
      </c>
      <c r="C50" s="241" t="str">
        <f>[1]Master!AG50</f>
        <v>SO</v>
      </c>
      <c r="D50" s="258">
        <v>11</v>
      </c>
      <c r="E50" s="258">
        <v>0</v>
      </c>
      <c r="F50" s="258">
        <v>8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7</v>
      </c>
      <c r="M50" s="258">
        <v>0</v>
      </c>
      <c r="N50" s="258">
        <v>0</v>
      </c>
      <c r="O50" s="258">
        <v>0</v>
      </c>
      <c r="P50" s="258">
        <f t="shared" si="0"/>
        <v>26</v>
      </c>
      <c r="Q50" s="242" t="str">
        <f>[1]Master!AF50</f>
        <v>SOMALIA</v>
      </c>
      <c r="R50" s="55"/>
    </row>
    <row r="51" spans="1:18" ht="15.75" thickBot="1" x14ac:dyDescent="0.3">
      <c r="A51" s="55"/>
      <c r="B51" s="242" t="str">
        <f>[1]Master!AF51</f>
        <v>SPAIN</v>
      </c>
      <c r="C51" s="241" t="str">
        <f>[1]Master!AG51</f>
        <v>ES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f t="shared" si="0"/>
        <v>0</v>
      </c>
      <c r="Q51" s="242" t="str">
        <f>[1]Master!AF51</f>
        <v>SPAIN</v>
      </c>
      <c r="R51" s="55"/>
    </row>
    <row r="52" spans="1:18" ht="15.75" thickBot="1" x14ac:dyDescent="0.3">
      <c r="A52" s="55"/>
      <c r="B52" s="242" t="str">
        <f>[1]Master!AF52</f>
        <v>SOUTH SUDAN</v>
      </c>
      <c r="C52" s="241" t="str">
        <f>[1]Master!AG52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0</v>
      </c>
      <c r="Q52" s="242" t="str">
        <f>[1]Master!AF52</f>
        <v>SOUTH SUDAN</v>
      </c>
      <c r="R52" s="55"/>
    </row>
    <row r="53" spans="1:18" ht="15.75" thickBot="1" x14ac:dyDescent="0.3">
      <c r="A53" s="55"/>
      <c r="B53" s="242" t="str">
        <f>[1]Master!AF53</f>
        <v>SRI LANKA</v>
      </c>
      <c r="C53" s="241" t="str">
        <f>[1]Master!AG53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242" t="str">
        <f>[1]Master!AF53</f>
        <v>SRI LANKA</v>
      </c>
      <c r="R53" s="55"/>
    </row>
    <row r="54" spans="1:18" ht="15.75" thickBot="1" x14ac:dyDescent="0.3">
      <c r="A54" s="55"/>
      <c r="B54" s="242" t="str">
        <f>[1]Master!AF54</f>
        <v>SUDAN</v>
      </c>
      <c r="C54" s="241" t="str">
        <f>[1]Master!AG54</f>
        <v>SU</v>
      </c>
      <c r="D54" s="258">
        <v>0</v>
      </c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6</v>
      </c>
      <c r="K54" s="258">
        <v>0</v>
      </c>
      <c r="L54" s="258">
        <v>0</v>
      </c>
      <c r="M54" s="258">
        <v>0</v>
      </c>
      <c r="N54" s="258">
        <v>0</v>
      </c>
      <c r="O54" s="258">
        <v>0</v>
      </c>
      <c r="P54" s="258">
        <f t="shared" si="0"/>
        <v>6</v>
      </c>
      <c r="Q54" s="242" t="str">
        <f>[1]Master!AF54</f>
        <v>SUDAN</v>
      </c>
      <c r="R54" s="55"/>
    </row>
    <row r="55" spans="1:18" ht="15.75" thickBot="1" x14ac:dyDescent="0.3">
      <c r="B55" s="242" t="str">
        <f>[1]Master!AF55</f>
        <v>SYRIA</v>
      </c>
      <c r="C55" s="241" t="str">
        <f>[1]Master!AG55</f>
        <v>SY</v>
      </c>
      <c r="D55" s="258">
        <v>14</v>
      </c>
      <c r="E55" s="258">
        <v>25</v>
      </c>
      <c r="F55" s="258">
        <v>10</v>
      </c>
      <c r="G55" s="258">
        <v>3</v>
      </c>
      <c r="H55" s="258">
        <v>9</v>
      </c>
      <c r="I55" s="258">
        <v>0</v>
      </c>
      <c r="J55" s="258">
        <v>0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f t="shared" si="0"/>
        <v>61</v>
      </c>
      <c r="Q55" s="242" t="str">
        <f>[1]Master!AF55</f>
        <v>SYRIA</v>
      </c>
    </row>
    <row r="56" spans="1:18" ht="15.75" thickBot="1" x14ac:dyDescent="0.3">
      <c r="B56" s="242" t="str">
        <f>[1]Master!AF56</f>
        <v>TAJIKISTAN</v>
      </c>
      <c r="C56" s="241" t="str">
        <f>[1]Master!AG56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242" t="str">
        <f>[1]Master!AF56</f>
        <v>TAJIKISTAN</v>
      </c>
    </row>
    <row r="57" spans="1:18" ht="15.75" thickBot="1" x14ac:dyDescent="0.3">
      <c r="B57" s="242" t="str">
        <f>[1]Master!AF57</f>
        <v>TANZANIA</v>
      </c>
      <c r="C57" s="241" t="str">
        <f>[1]Master!AG57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242" t="str">
        <f>[1]Master!AF57</f>
        <v>TANZANIA</v>
      </c>
    </row>
    <row r="58" spans="1:18" ht="15.75" thickBot="1" x14ac:dyDescent="0.3">
      <c r="B58" s="242" t="str">
        <f>[1]Master!AF58</f>
        <v>THAILAND</v>
      </c>
      <c r="C58" s="241" t="str">
        <f>[1]Master!AG58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242" t="str">
        <f>[1]Master!AF58</f>
        <v>THAILAND</v>
      </c>
    </row>
    <row r="59" spans="1:18" ht="15.75" thickBot="1" x14ac:dyDescent="0.3">
      <c r="B59" s="242" t="str">
        <f>[1]Master!AF59</f>
        <v>UGANDA</v>
      </c>
      <c r="C59" s="241" t="str">
        <f>[1]Master!AG59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0</v>
      </c>
      <c r="Q59" s="242" t="str">
        <f>[1]Master!AF59</f>
        <v>UGANDA</v>
      </c>
    </row>
    <row r="60" spans="1:18" ht="15.75" thickBot="1" x14ac:dyDescent="0.3">
      <c r="B60" s="242" t="str">
        <f>[1]Master!AF60</f>
        <v>UKRAINE</v>
      </c>
      <c r="C60" s="241" t="str">
        <f>[1]Master!AG60</f>
        <v>UP</v>
      </c>
      <c r="D60" s="238">
        <v>6</v>
      </c>
      <c r="E60" s="238">
        <v>0</v>
      </c>
      <c r="F60" s="238">
        <v>0</v>
      </c>
      <c r="G60" s="258">
        <v>0</v>
      </c>
      <c r="H60" s="238">
        <v>0</v>
      </c>
      <c r="I60" s="238">
        <v>0</v>
      </c>
      <c r="J60" s="238">
        <v>0</v>
      </c>
      <c r="K60" s="258">
        <v>0</v>
      </c>
      <c r="L60" s="238">
        <v>0</v>
      </c>
      <c r="M60" s="238">
        <v>0</v>
      </c>
      <c r="N60" s="238">
        <v>0</v>
      </c>
      <c r="O60" s="238">
        <v>0</v>
      </c>
      <c r="P60" s="258">
        <f t="shared" si="0"/>
        <v>6</v>
      </c>
      <c r="Q60" s="242" t="str">
        <f>[1]Master!AF60</f>
        <v>UKRAINE</v>
      </c>
    </row>
    <row r="61" spans="1:18" ht="15.75" thickBot="1" x14ac:dyDescent="0.3">
      <c r="B61" s="242" t="str">
        <f>[1]Master!AF61</f>
        <v>UZBEKISTAN</v>
      </c>
      <c r="C61" s="241" t="str">
        <f>[1]Master!AG61</f>
        <v>UZ</v>
      </c>
      <c r="D61" s="238">
        <v>0</v>
      </c>
      <c r="E61" s="238">
        <v>0</v>
      </c>
      <c r="F61" s="238">
        <v>0</v>
      </c>
      <c r="G61" s="258">
        <v>0</v>
      </c>
      <c r="H61" s="238">
        <v>0</v>
      </c>
      <c r="I61" s="238">
        <v>0</v>
      </c>
      <c r="J61" s="238">
        <v>0</v>
      </c>
      <c r="K61" s="258">
        <v>0</v>
      </c>
      <c r="L61" s="238">
        <v>0</v>
      </c>
      <c r="M61" s="238">
        <v>0</v>
      </c>
      <c r="N61" s="238">
        <v>0</v>
      </c>
      <c r="O61" s="238">
        <v>0</v>
      </c>
      <c r="P61" s="258">
        <f t="shared" si="0"/>
        <v>0</v>
      </c>
      <c r="Q61" s="242" t="str">
        <f>[1]Master!AF61</f>
        <v>UZBEKISTAN</v>
      </c>
    </row>
    <row r="62" spans="1:18" ht="15.75" thickBot="1" x14ac:dyDescent="0.3">
      <c r="B62" s="242" t="str">
        <f>[1]Master!AF62</f>
        <v>VIETNAM</v>
      </c>
      <c r="C62" s="241" t="str">
        <f>[1]Master!AG62</f>
        <v>VM</v>
      </c>
      <c r="D62" s="238">
        <v>0</v>
      </c>
      <c r="E62" s="238">
        <v>0</v>
      </c>
      <c r="F62" s="238">
        <v>0</v>
      </c>
      <c r="G62" s="258">
        <v>0</v>
      </c>
      <c r="H62" s="238">
        <v>0</v>
      </c>
      <c r="I62" s="238">
        <v>0</v>
      </c>
      <c r="J62" s="238">
        <v>0</v>
      </c>
      <c r="K62" s="258">
        <v>0</v>
      </c>
      <c r="L62" s="238">
        <v>0</v>
      </c>
      <c r="M62" s="238">
        <v>0</v>
      </c>
      <c r="N62" s="238">
        <v>0</v>
      </c>
      <c r="O62" s="238">
        <v>38</v>
      </c>
      <c r="P62" s="258">
        <f t="shared" si="0"/>
        <v>38</v>
      </c>
      <c r="Q62" s="242" t="str">
        <f>[1]Master!AF62</f>
        <v>VIETNAM</v>
      </c>
    </row>
    <row r="63" spans="1:18" ht="15.75" thickBot="1" x14ac:dyDescent="0.3">
      <c r="B63" s="242" t="str">
        <f>[1]Master!AF63</f>
        <v>ZAMBIA</v>
      </c>
      <c r="C63" s="241" t="str">
        <f>[1]Master!AG63</f>
        <v>ZA</v>
      </c>
      <c r="D63" s="238">
        <v>0</v>
      </c>
      <c r="E63" s="238">
        <v>0</v>
      </c>
      <c r="F63" s="238">
        <v>0</v>
      </c>
      <c r="G63" s="258">
        <v>0</v>
      </c>
      <c r="H63" s="238">
        <v>0</v>
      </c>
      <c r="I63" s="238">
        <v>0</v>
      </c>
      <c r="J63" s="238">
        <v>0</v>
      </c>
      <c r="K63" s="258">
        <v>0</v>
      </c>
      <c r="L63" s="238">
        <v>0</v>
      </c>
      <c r="M63" s="238">
        <v>0</v>
      </c>
      <c r="N63" s="238">
        <v>0</v>
      </c>
      <c r="O63" s="238">
        <v>0</v>
      </c>
      <c r="P63" s="258">
        <f t="shared" si="0"/>
        <v>0</v>
      </c>
      <c r="Q63" s="242" t="str">
        <f>[1]Master!AF63</f>
        <v>ZAMBIA</v>
      </c>
    </row>
    <row r="64" spans="1:18" ht="15.75" thickBot="1" x14ac:dyDescent="0.3">
      <c r="B64" s="245" t="s">
        <v>53</v>
      </c>
      <c r="C64" s="246"/>
      <c r="D64" s="249">
        <f>SUM(D5:D63)</f>
        <v>93</v>
      </c>
      <c r="E64" s="249">
        <f>SUM(E5:E63)</f>
        <v>66</v>
      </c>
      <c r="F64" s="249">
        <f>SUM(F5:F63)</f>
        <v>48</v>
      </c>
      <c r="G64" s="249">
        <f>SUM(G5:G63)</f>
        <v>49</v>
      </c>
      <c r="H64" s="249">
        <f>SUM(H5:H63)</f>
        <v>11</v>
      </c>
      <c r="I64" s="249">
        <f>SUM(I5:I63)</f>
        <v>20</v>
      </c>
      <c r="J64" s="249">
        <f>SUM(J5:J63)</f>
        <v>18</v>
      </c>
      <c r="K64" s="249">
        <f>SUM(K5:K63)</f>
        <v>41</v>
      </c>
      <c r="L64" s="249">
        <v>43</v>
      </c>
      <c r="M64" s="249">
        <v>12</v>
      </c>
      <c r="N64" s="249">
        <v>18</v>
      </c>
      <c r="O64" s="249">
        <v>76</v>
      </c>
      <c r="P64" s="249">
        <f>SUM(P5:P63)</f>
        <v>495</v>
      </c>
      <c r="Q64" s="240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C54B-EBA3-41A6-AA80-4F4F28E3204A}">
  <dimension ref="B1:U256"/>
  <sheetViews>
    <sheetView workbookViewId="0">
      <selection activeCell="P267" sqref="P267"/>
    </sheetView>
  </sheetViews>
  <sheetFormatPr defaultRowHeight="15" x14ac:dyDescent="0.25"/>
  <cols>
    <col min="1" max="1" width="2" style="263" customWidth="1"/>
    <col min="2" max="2" width="19.28515625" style="321" customWidth="1"/>
    <col min="3" max="3" width="6.140625" style="321" customWidth="1"/>
    <col min="4" max="16" width="9.140625" style="321"/>
    <col min="17" max="17" width="19.28515625" style="321" customWidth="1"/>
    <col min="18" max="16384" width="9.140625" style="263"/>
  </cols>
  <sheetData>
    <row r="1" spans="2:17" ht="10.5" customHeight="1" thickBot="1" x14ac:dyDescent="0.3"/>
    <row r="2" spans="2:17" ht="15.75" thickBot="1" x14ac:dyDescent="0.3">
      <c r="B2" s="322" t="s">
        <v>13</v>
      </c>
      <c r="C2" s="323"/>
      <c r="D2" s="323"/>
      <c r="E2" s="323"/>
      <c r="F2" s="323"/>
      <c r="G2" s="323"/>
      <c r="H2" s="323"/>
      <c r="I2" s="323"/>
      <c r="J2" s="323" t="s">
        <v>12</v>
      </c>
      <c r="K2" s="323"/>
      <c r="L2" s="323"/>
      <c r="M2" s="323"/>
      <c r="N2" s="323"/>
      <c r="O2" s="323"/>
      <c r="P2" s="323"/>
      <c r="Q2" s="324"/>
    </row>
    <row r="3" spans="2:17" ht="13.5" customHeight="1" thickBot="1" x14ac:dyDescent="0.3">
      <c r="B3" s="325"/>
      <c r="C3" s="326"/>
      <c r="D3" s="327" t="s">
        <v>19</v>
      </c>
      <c r="E3" s="327" t="s">
        <v>20</v>
      </c>
      <c r="F3" s="327" t="s">
        <v>21</v>
      </c>
      <c r="G3" s="327" t="s">
        <v>22</v>
      </c>
      <c r="H3" s="327" t="s">
        <v>23</v>
      </c>
      <c r="I3" s="327" t="s">
        <v>24</v>
      </c>
      <c r="J3" s="327" t="s">
        <v>25</v>
      </c>
      <c r="K3" s="327" t="s">
        <v>26</v>
      </c>
      <c r="L3" s="327" t="s">
        <v>27</v>
      </c>
      <c r="M3" s="327" t="s">
        <v>28</v>
      </c>
      <c r="N3" s="327" t="s">
        <v>29</v>
      </c>
      <c r="O3" s="327" t="s">
        <v>30</v>
      </c>
      <c r="P3" s="328" t="s">
        <v>40</v>
      </c>
      <c r="Q3" s="329"/>
    </row>
    <row r="4" spans="2:17" ht="13.5" customHeight="1" thickBot="1" x14ac:dyDescent="0.3">
      <c r="B4" s="330"/>
      <c r="C4" s="331"/>
      <c r="D4" s="332">
        <v>10</v>
      </c>
      <c r="E4" s="333">
        <v>11</v>
      </c>
      <c r="F4" s="333">
        <v>12</v>
      </c>
      <c r="G4" s="333">
        <v>1</v>
      </c>
      <c r="H4" s="333">
        <v>2</v>
      </c>
      <c r="I4" s="333">
        <v>3</v>
      </c>
      <c r="J4" s="333">
        <v>4</v>
      </c>
      <c r="K4" s="333">
        <v>5</v>
      </c>
      <c r="L4" s="333">
        <v>6</v>
      </c>
      <c r="M4" s="333">
        <v>7</v>
      </c>
      <c r="N4" s="333">
        <v>8</v>
      </c>
      <c r="O4" s="333">
        <v>9</v>
      </c>
      <c r="P4" s="334"/>
      <c r="Q4" s="335"/>
    </row>
    <row r="5" spans="2:17" ht="15.75" thickBot="1" x14ac:dyDescent="0.3">
      <c r="B5" s="336" t="str">
        <f>[1]Master!AF7</f>
        <v>AFGHANISTAN</v>
      </c>
      <c r="C5" s="332" t="str">
        <f>[1]Master!AG7</f>
        <v>AF</v>
      </c>
      <c r="D5" s="337">
        <v>0</v>
      </c>
      <c r="E5" s="337">
        <v>0</v>
      </c>
      <c r="F5" s="337">
        <v>0</v>
      </c>
      <c r="G5" s="337">
        <v>0</v>
      </c>
      <c r="H5" s="337">
        <v>0</v>
      </c>
      <c r="I5" s="337">
        <v>0</v>
      </c>
      <c r="J5" s="337">
        <v>0</v>
      </c>
      <c r="K5" s="337">
        <v>0</v>
      </c>
      <c r="L5" s="337">
        <v>0</v>
      </c>
      <c r="M5" s="337">
        <v>0</v>
      </c>
      <c r="N5" s="337">
        <v>0</v>
      </c>
      <c r="O5" s="337">
        <v>4</v>
      </c>
      <c r="P5" s="337">
        <f>SUM(D5:O5)</f>
        <v>4</v>
      </c>
      <c r="Q5" s="336" t="str">
        <f>[1]Master!AF7</f>
        <v>AFGHANISTAN</v>
      </c>
    </row>
    <row r="6" spans="2:17" ht="15.75" thickBot="1" x14ac:dyDescent="0.3">
      <c r="B6" s="336" t="str">
        <f>[1]Master!AF8</f>
        <v>ARMENIA</v>
      </c>
      <c r="C6" s="332" t="str">
        <f>[1]Master!AG8</f>
        <v>AM</v>
      </c>
      <c r="D6" s="337">
        <v>0</v>
      </c>
      <c r="E6" s="337">
        <v>0</v>
      </c>
      <c r="F6" s="337">
        <v>0</v>
      </c>
      <c r="G6" s="337">
        <v>0</v>
      </c>
      <c r="H6" s="337">
        <v>0</v>
      </c>
      <c r="I6" s="337">
        <v>0</v>
      </c>
      <c r="J6" s="337">
        <v>0</v>
      </c>
      <c r="K6" s="337">
        <v>0</v>
      </c>
      <c r="L6" s="337">
        <v>0</v>
      </c>
      <c r="M6" s="337">
        <v>0</v>
      </c>
      <c r="N6" s="337">
        <v>0</v>
      </c>
      <c r="O6" s="337">
        <v>0</v>
      </c>
      <c r="P6" s="337">
        <f t="shared" ref="P6" si="0">SUM(D6:O6)</f>
        <v>0</v>
      </c>
      <c r="Q6" s="336" t="str">
        <f>[1]Master!AF8</f>
        <v>ARMENIA</v>
      </c>
    </row>
    <row r="7" spans="2:17" ht="15.75" thickBot="1" x14ac:dyDescent="0.3">
      <c r="B7" s="336" t="s">
        <v>780</v>
      </c>
      <c r="C7" s="332" t="s">
        <v>333</v>
      </c>
      <c r="D7" s="337">
        <v>0</v>
      </c>
      <c r="E7" s="337">
        <v>0</v>
      </c>
      <c r="F7" s="337">
        <v>0</v>
      </c>
      <c r="G7" s="337">
        <v>0</v>
      </c>
      <c r="H7" s="337">
        <v>0</v>
      </c>
      <c r="I7" s="337">
        <v>0</v>
      </c>
      <c r="J7" s="337">
        <v>0</v>
      </c>
      <c r="K7" s="337">
        <v>0</v>
      </c>
      <c r="L7" s="337">
        <v>0</v>
      </c>
      <c r="M7" s="337">
        <v>0</v>
      </c>
      <c r="N7" s="337">
        <v>0</v>
      </c>
      <c r="O7" s="337">
        <v>0</v>
      </c>
      <c r="P7" s="337">
        <v>0</v>
      </c>
      <c r="Q7" s="336" t="s">
        <v>780</v>
      </c>
    </row>
    <row r="8" spans="2:17" ht="15.75" thickBot="1" x14ac:dyDescent="0.3">
      <c r="B8" s="336" t="str">
        <f>[1]Master!AF9</f>
        <v>BELARUS</v>
      </c>
      <c r="C8" s="332" t="str">
        <f>[1]Master!AG9</f>
        <v>BO</v>
      </c>
      <c r="D8" s="337">
        <v>0</v>
      </c>
      <c r="E8" s="337">
        <v>0</v>
      </c>
      <c r="F8" s="337">
        <v>0</v>
      </c>
      <c r="G8" s="337">
        <v>0</v>
      </c>
      <c r="H8" s="337">
        <v>0</v>
      </c>
      <c r="I8" s="337">
        <v>0</v>
      </c>
      <c r="J8" s="337">
        <v>0</v>
      </c>
      <c r="K8" s="337">
        <v>0</v>
      </c>
      <c r="L8" s="337">
        <v>0</v>
      </c>
      <c r="M8" s="337">
        <v>0</v>
      </c>
      <c r="N8" s="337">
        <v>0</v>
      </c>
      <c r="O8" s="337">
        <v>0</v>
      </c>
      <c r="P8" s="337">
        <f>SUM(D8:O8)</f>
        <v>0</v>
      </c>
      <c r="Q8" s="336" t="str">
        <f>[1]Master!AF9</f>
        <v>BELARUS</v>
      </c>
    </row>
    <row r="9" spans="2:17" ht="15.75" thickBot="1" x14ac:dyDescent="0.3">
      <c r="B9" s="336" t="str">
        <f>[1]Master!AF10</f>
        <v>BURMA</v>
      </c>
      <c r="C9" s="332" t="str">
        <f>[1]Master!AG10</f>
        <v>BM</v>
      </c>
      <c r="D9" s="337">
        <v>0</v>
      </c>
      <c r="E9" s="337">
        <v>0</v>
      </c>
      <c r="F9" s="337">
        <v>0</v>
      </c>
      <c r="G9" s="337">
        <v>0</v>
      </c>
      <c r="H9" s="337">
        <v>0</v>
      </c>
      <c r="I9" s="337">
        <v>4</v>
      </c>
      <c r="J9" s="337">
        <v>0</v>
      </c>
      <c r="K9" s="337">
        <v>0</v>
      </c>
      <c r="L9" s="337">
        <v>0</v>
      </c>
      <c r="M9" s="337">
        <v>0</v>
      </c>
      <c r="N9" s="337">
        <v>0</v>
      </c>
      <c r="O9" s="337">
        <v>0</v>
      </c>
      <c r="P9" s="337">
        <f>SUM(D9:O9)</f>
        <v>4</v>
      </c>
      <c r="Q9" s="336" t="str">
        <f>[1]Master!AF10</f>
        <v>BURMA</v>
      </c>
    </row>
    <row r="10" spans="2:17" ht="15.75" thickBot="1" x14ac:dyDescent="0.3">
      <c r="B10" s="336" t="str">
        <f>[1]Master!AF11</f>
        <v>BHUTAN</v>
      </c>
      <c r="C10" s="332" t="str">
        <f>[1]Master!AG11</f>
        <v>BT</v>
      </c>
      <c r="D10" s="337">
        <v>14</v>
      </c>
      <c r="E10" s="337">
        <v>2</v>
      </c>
      <c r="F10" s="337">
        <v>7</v>
      </c>
      <c r="G10" s="337">
        <v>3</v>
      </c>
      <c r="H10" s="337">
        <v>0</v>
      </c>
      <c r="I10" s="337">
        <v>4</v>
      </c>
      <c r="J10" s="337">
        <v>0</v>
      </c>
      <c r="K10" s="337">
        <v>0</v>
      </c>
      <c r="L10" s="337">
        <v>0</v>
      </c>
      <c r="M10" s="337">
        <v>0</v>
      </c>
      <c r="N10" s="337">
        <v>0</v>
      </c>
      <c r="O10" s="337">
        <v>3</v>
      </c>
      <c r="P10" s="337">
        <f>SUM(D10:O10)</f>
        <v>33</v>
      </c>
      <c r="Q10" s="336" t="str">
        <f>[1]Master!AF11</f>
        <v>BHUTAN</v>
      </c>
    </row>
    <row r="11" spans="2:17" ht="15.75" thickBot="1" x14ac:dyDescent="0.3">
      <c r="B11" s="336" t="s">
        <v>779</v>
      </c>
      <c r="C11" s="332" t="s">
        <v>287</v>
      </c>
      <c r="D11" s="337">
        <v>0</v>
      </c>
      <c r="E11" s="337">
        <v>0</v>
      </c>
      <c r="F11" s="337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37">
        <v>0</v>
      </c>
      <c r="O11" s="337">
        <v>0</v>
      </c>
      <c r="P11" s="337">
        <v>0</v>
      </c>
      <c r="Q11" s="336" t="s">
        <v>779</v>
      </c>
    </row>
    <row r="12" spans="2:17" ht="15.75" thickBot="1" x14ac:dyDescent="0.3">
      <c r="B12" s="336" t="str">
        <f>[1]Master!AF12</f>
        <v>BURUNDI</v>
      </c>
      <c r="C12" s="332" t="str">
        <f>[1]Master!AG12</f>
        <v>BY</v>
      </c>
      <c r="D12" s="337">
        <v>0</v>
      </c>
      <c r="E12" s="337">
        <v>0</v>
      </c>
      <c r="F12" s="337">
        <v>0</v>
      </c>
      <c r="G12" s="337">
        <v>0</v>
      </c>
      <c r="H12" s="337">
        <v>0</v>
      </c>
      <c r="I12" s="337">
        <v>0</v>
      </c>
      <c r="J12" s="337">
        <v>0</v>
      </c>
      <c r="K12" s="337">
        <v>0</v>
      </c>
      <c r="L12" s="337">
        <v>0</v>
      </c>
      <c r="M12" s="337">
        <v>0</v>
      </c>
      <c r="N12" s="337">
        <v>0</v>
      </c>
      <c r="O12" s="337">
        <v>0</v>
      </c>
      <c r="P12" s="337">
        <f>SUM(D12:O12)</f>
        <v>0</v>
      </c>
      <c r="Q12" s="336" t="str">
        <f>[1]Master!AF12</f>
        <v>BURUNDI</v>
      </c>
    </row>
    <row r="13" spans="2:17" ht="15.75" thickBot="1" x14ac:dyDescent="0.3">
      <c r="B13" s="336" t="str">
        <f>[1]Master!AF13</f>
        <v>CAMEROUN</v>
      </c>
      <c r="C13" s="332" t="str">
        <f>[1]Master!AG13</f>
        <v>CM</v>
      </c>
      <c r="D13" s="337">
        <v>0</v>
      </c>
      <c r="E13" s="337">
        <v>0</v>
      </c>
      <c r="F13" s="337">
        <v>0</v>
      </c>
      <c r="G13" s="337">
        <v>0</v>
      </c>
      <c r="H13" s="337">
        <v>0</v>
      </c>
      <c r="I13" s="337">
        <v>0</v>
      </c>
      <c r="J13" s="337">
        <v>0</v>
      </c>
      <c r="K13" s="337">
        <v>0</v>
      </c>
      <c r="L13" s="337">
        <v>0</v>
      </c>
      <c r="M13" s="337">
        <v>0</v>
      </c>
      <c r="N13" s="337">
        <v>0</v>
      </c>
      <c r="O13" s="337">
        <v>0</v>
      </c>
      <c r="P13" s="337">
        <f>SUM(D13:O13)</f>
        <v>0</v>
      </c>
      <c r="Q13" s="336" t="str">
        <f>[1]Master!AF13</f>
        <v>CAMEROUN</v>
      </c>
    </row>
    <row r="14" spans="2:17" ht="15.75" thickBot="1" x14ac:dyDescent="0.3">
      <c r="B14" s="336" t="str">
        <f>[1]Master!AF14</f>
        <v>CENTRAL AFR REP</v>
      </c>
      <c r="C14" s="332" t="str">
        <f>[1]Master!AG14</f>
        <v>CT</v>
      </c>
      <c r="D14" s="337">
        <v>0</v>
      </c>
      <c r="E14" s="337">
        <v>0</v>
      </c>
      <c r="F14" s="337">
        <v>0</v>
      </c>
      <c r="G14" s="337">
        <v>0</v>
      </c>
      <c r="H14" s="337">
        <v>0</v>
      </c>
      <c r="I14" s="337">
        <v>0</v>
      </c>
      <c r="J14" s="337">
        <v>0</v>
      </c>
      <c r="K14" s="337">
        <v>0</v>
      </c>
      <c r="L14" s="337">
        <v>0</v>
      </c>
      <c r="M14" s="337">
        <v>0</v>
      </c>
      <c r="N14" s="337">
        <v>0</v>
      </c>
      <c r="O14" s="337">
        <v>0</v>
      </c>
      <c r="P14" s="337">
        <f>SUM(D14:O14)</f>
        <v>0</v>
      </c>
      <c r="Q14" s="336" t="str">
        <f>[1]Master!AF14</f>
        <v>CENTRAL AFR REP</v>
      </c>
    </row>
    <row r="15" spans="2:17" ht="15.75" thickBot="1" x14ac:dyDescent="0.3">
      <c r="B15" s="336" t="str">
        <f>[1]Master!AF15</f>
        <v>CHINA</v>
      </c>
      <c r="C15" s="332" t="str">
        <f>[1]Master!AG15</f>
        <v>CH</v>
      </c>
      <c r="D15" s="337">
        <v>0</v>
      </c>
      <c r="E15" s="337">
        <v>0</v>
      </c>
      <c r="F15" s="337">
        <v>0</v>
      </c>
      <c r="G15" s="337">
        <v>0</v>
      </c>
      <c r="H15" s="337">
        <v>0</v>
      </c>
      <c r="I15" s="337">
        <v>0</v>
      </c>
      <c r="J15" s="337">
        <v>0</v>
      </c>
      <c r="K15" s="337">
        <v>0</v>
      </c>
      <c r="L15" s="337">
        <v>0</v>
      </c>
      <c r="M15" s="337">
        <v>0</v>
      </c>
      <c r="N15" s="337">
        <v>0</v>
      </c>
      <c r="O15" s="337">
        <v>0</v>
      </c>
      <c r="P15" s="337">
        <f>SUM(D15:O15)</f>
        <v>0</v>
      </c>
      <c r="Q15" s="336" t="str">
        <f>[1]Master!AF15</f>
        <v>CHINA</v>
      </c>
    </row>
    <row r="16" spans="2:17" ht="15.75" thickBot="1" x14ac:dyDescent="0.3">
      <c r="B16" s="336" t="str">
        <f>[1]Master!AF16</f>
        <v>DEM REP OF CONGO</v>
      </c>
      <c r="C16" s="332" t="str">
        <f>[1]Master!AG16</f>
        <v>CG</v>
      </c>
      <c r="D16" s="337">
        <v>2</v>
      </c>
      <c r="E16" s="337">
        <v>8</v>
      </c>
      <c r="F16" s="337">
        <v>0</v>
      </c>
      <c r="G16" s="337">
        <v>0</v>
      </c>
      <c r="H16" s="337">
        <v>0</v>
      </c>
      <c r="I16" s="337">
        <v>0</v>
      </c>
      <c r="J16" s="337">
        <v>0</v>
      </c>
      <c r="K16" s="337">
        <v>5</v>
      </c>
      <c r="L16" s="337">
        <v>8</v>
      </c>
      <c r="M16" s="337">
        <v>0</v>
      </c>
      <c r="N16" s="337">
        <v>0</v>
      </c>
      <c r="O16" s="337">
        <v>0</v>
      </c>
      <c r="P16" s="337">
        <f>SUM(D16:O16)</f>
        <v>23</v>
      </c>
      <c r="Q16" s="336" t="str">
        <f>[1]Master!AF16</f>
        <v>DEM REP OF CONGO</v>
      </c>
    </row>
    <row r="17" spans="2:17" ht="15.75" thickBot="1" x14ac:dyDescent="0.3">
      <c r="B17" s="336" t="str">
        <f>[1]Master!AF17</f>
        <v>COLUMBIA</v>
      </c>
      <c r="C17" s="332" t="str">
        <f>[1]Master!AG17</f>
        <v>CO</v>
      </c>
      <c r="D17" s="337">
        <v>0</v>
      </c>
      <c r="E17" s="337">
        <v>0</v>
      </c>
      <c r="F17" s="337">
        <v>0</v>
      </c>
      <c r="G17" s="337">
        <v>0</v>
      </c>
      <c r="H17" s="337">
        <v>0</v>
      </c>
      <c r="I17" s="337">
        <v>0</v>
      </c>
      <c r="J17" s="337">
        <v>0</v>
      </c>
      <c r="K17" s="337">
        <v>0</v>
      </c>
      <c r="L17" s="337">
        <v>0</v>
      </c>
      <c r="M17" s="337">
        <v>0</v>
      </c>
      <c r="N17" s="337">
        <v>0</v>
      </c>
      <c r="O17" s="337">
        <v>0</v>
      </c>
      <c r="P17" s="337">
        <f>SUM(D17:O17)</f>
        <v>0</v>
      </c>
      <c r="Q17" s="336" t="str">
        <f>[1]Master!AF17</f>
        <v>COLUMBIA</v>
      </c>
    </row>
    <row r="18" spans="2:17" ht="15.75" thickBot="1" x14ac:dyDescent="0.3">
      <c r="B18" s="336" t="str">
        <f>[1]Master!AF18</f>
        <v>CONGO</v>
      </c>
      <c r="C18" s="332" t="str">
        <f>[1]Master!AG18</f>
        <v>CF</v>
      </c>
      <c r="D18" s="337">
        <v>0</v>
      </c>
      <c r="E18" s="337">
        <v>0</v>
      </c>
      <c r="F18" s="337">
        <v>0</v>
      </c>
      <c r="G18" s="337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  <c r="M18" s="337">
        <v>0</v>
      </c>
      <c r="N18" s="337">
        <v>0</v>
      </c>
      <c r="O18" s="337">
        <v>0</v>
      </c>
      <c r="P18" s="337">
        <f>SUM(D18:O18)</f>
        <v>0</v>
      </c>
      <c r="Q18" s="336" t="str">
        <f>[1]Master!AF18</f>
        <v>CONGO</v>
      </c>
    </row>
    <row r="19" spans="2:17" ht="15.75" thickBot="1" x14ac:dyDescent="0.3">
      <c r="B19" s="336" t="str">
        <f>[1]Master!AF19</f>
        <v>CUBA</v>
      </c>
      <c r="C19" s="332" t="str">
        <f>[1]Master!AG19</f>
        <v>CU</v>
      </c>
      <c r="D19" s="337">
        <v>0</v>
      </c>
      <c r="E19" s="337">
        <v>0</v>
      </c>
      <c r="F19" s="337">
        <v>0</v>
      </c>
      <c r="G19" s="337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0</v>
      </c>
      <c r="N19" s="337">
        <v>0</v>
      </c>
      <c r="O19" s="337">
        <v>0</v>
      </c>
      <c r="P19" s="337">
        <f>SUM(D19:O19)</f>
        <v>0</v>
      </c>
      <c r="Q19" s="336" t="str">
        <f>[1]Master!AF19</f>
        <v>CUBA</v>
      </c>
    </row>
    <row r="20" spans="2:17" ht="15.75" thickBot="1" x14ac:dyDescent="0.3">
      <c r="B20" s="336" t="str">
        <f>[1]Master!AF20</f>
        <v>CUBAN ENTRANT</v>
      </c>
      <c r="C20" s="332" t="str">
        <f>[1]Master!AG20</f>
        <v>CUE</v>
      </c>
      <c r="D20" s="337">
        <v>0</v>
      </c>
      <c r="E20" s="337">
        <v>0</v>
      </c>
      <c r="F20" s="337">
        <v>0</v>
      </c>
      <c r="G20" s="337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  <c r="M20" s="337">
        <v>0</v>
      </c>
      <c r="N20" s="337">
        <v>0</v>
      </c>
      <c r="O20" s="337">
        <v>0</v>
      </c>
      <c r="P20" s="337">
        <f>SUM(D20:O20)</f>
        <v>0</v>
      </c>
      <c r="Q20" s="336" t="str">
        <f>[1]Master!AF20</f>
        <v>CUBAN ENTRANT</v>
      </c>
    </row>
    <row r="21" spans="2:17" ht="15.75" thickBot="1" x14ac:dyDescent="0.3">
      <c r="B21" s="336" t="str">
        <f>[1]Master!AF21</f>
        <v>ECUADOR</v>
      </c>
      <c r="C21" s="332" t="str">
        <f>[1]Master!AG21</f>
        <v>EC</v>
      </c>
      <c r="D21" s="337">
        <v>0</v>
      </c>
      <c r="E21" s="337">
        <v>0</v>
      </c>
      <c r="F21" s="337">
        <v>0</v>
      </c>
      <c r="G21" s="337">
        <v>0</v>
      </c>
      <c r="H21" s="337">
        <v>0</v>
      </c>
      <c r="I21" s="337">
        <v>0</v>
      </c>
      <c r="J21" s="337">
        <v>0</v>
      </c>
      <c r="K21" s="337">
        <v>0</v>
      </c>
      <c r="L21" s="337">
        <v>0</v>
      </c>
      <c r="M21" s="337">
        <v>0</v>
      </c>
      <c r="N21" s="337">
        <v>0</v>
      </c>
      <c r="O21" s="337">
        <v>0</v>
      </c>
      <c r="P21" s="337">
        <f>SUM(D21:O21)</f>
        <v>0</v>
      </c>
      <c r="Q21" s="336" t="str">
        <f>[1]Master!AF21</f>
        <v>ECUADOR</v>
      </c>
    </row>
    <row r="22" spans="2:17" ht="15.75" thickBot="1" x14ac:dyDescent="0.3">
      <c r="B22" s="336" t="str">
        <f>[1]Master!AF22</f>
        <v>EGYPT</v>
      </c>
      <c r="C22" s="332" t="str">
        <f>[1]Master!AG22</f>
        <v>EG</v>
      </c>
      <c r="D22" s="337">
        <v>0</v>
      </c>
      <c r="E22" s="337">
        <v>0</v>
      </c>
      <c r="F22" s="337">
        <v>0</v>
      </c>
      <c r="G22" s="337">
        <v>0</v>
      </c>
      <c r="H22" s="337">
        <v>0</v>
      </c>
      <c r="I22" s="337">
        <v>0</v>
      </c>
      <c r="J22" s="337">
        <v>0</v>
      </c>
      <c r="K22" s="337">
        <v>0</v>
      </c>
      <c r="L22" s="337">
        <v>0</v>
      </c>
      <c r="M22" s="337">
        <v>0</v>
      </c>
      <c r="N22" s="337">
        <v>0</v>
      </c>
      <c r="O22" s="337">
        <v>0</v>
      </c>
      <c r="P22" s="337">
        <f>SUM(D22:O22)</f>
        <v>0</v>
      </c>
      <c r="Q22" s="336" t="str">
        <f>[1]Master!AF22</f>
        <v>EGYPT</v>
      </c>
    </row>
    <row r="23" spans="2:17" ht="15.75" thickBot="1" x14ac:dyDescent="0.3">
      <c r="B23" s="336" t="str">
        <f>[1]Master!AF23</f>
        <v>ERITREA</v>
      </c>
      <c r="C23" s="332" t="str">
        <f>[1]Master!AG23</f>
        <v>ER</v>
      </c>
      <c r="D23" s="337">
        <v>0</v>
      </c>
      <c r="E23" s="337">
        <v>0</v>
      </c>
      <c r="F23" s="337">
        <v>0</v>
      </c>
      <c r="G23" s="337">
        <v>2</v>
      </c>
      <c r="H23" s="337">
        <v>0</v>
      </c>
      <c r="I23" s="337">
        <v>0</v>
      </c>
      <c r="J23" s="337">
        <v>0</v>
      </c>
      <c r="K23" s="337">
        <v>0</v>
      </c>
      <c r="L23" s="337">
        <v>0</v>
      </c>
      <c r="M23" s="337">
        <v>0</v>
      </c>
      <c r="N23" s="337">
        <v>0</v>
      </c>
      <c r="O23" s="337">
        <v>0</v>
      </c>
      <c r="P23" s="337">
        <f>SUM(D23:O23)</f>
        <v>2</v>
      </c>
      <c r="Q23" s="336" t="str">
        <f>[1]Master!AF23</f>
        <v>ERITREA</v>
      </c>
    </row>
    <row r="24" spans="2:17" ht="15.75" thickBot="1" x14ac:dyDescent="0.3">
      <c r="B24" s="336" t="str">
        <f>[1]Master!AF24</f>
        <v>ETHIOPIA</v>
      </c>
      <c r="C24" s="332" t="str">
        <f>[1]Master!AG24</f>
        <v>ET</v>
      </c>
      <c r="D24" s="337">
        <v>2</v>
      </c>
      <c r="E24" s="337">
        <v>0</v>
      </c>
      <c r="F24" s="337">
        <v>0</v>
      </c>
      <c r="G24" s="337">
        <v>0</v>
      </c>
      <c r="H24" s="337">
        <v>0</v>
      </c>
      <c r="I24" s="337">
        <v>0</v>
      </c>
      <c r="J24" s="337">
        <v>0</v>
      </c>
      <c r="K24" s="337">
        <v>0</v>
      </c>
      <c r="L24" s="337">
        <v>0</v>
      </c>
      <c r="M24" s="337">
        <v>0</v>
      </c>
      <c r="N24" s="337">
        <v>0</v>
      </c>
      <c r="O24" s="337">
        <v>0</v>
      </c>
      <c r="P24" s="337">
        <f>SUM(D24:O24)</f>
        <v>2</v>
      </c>
      <c r="Q24" s="336" t="str">
        <f>[1]Master!AF24</f>
        <v>ETHIOPIA</v>
      </c>
    </row>
    <row r="25" spans="2:17" ht="15.75" thickBot="1" x14ac:dyDescent="0.3">
      <c r="B25" s="336" t="str">
        <f>[1]Master!AF25</f>
        <v>FRANCE</v>
      </c>
      <c r="C25" s="332" t="str">
        <f>[1]Master!AG25</f>
        <v>FR</v>
      </c>
      <c r="D25" s="337">
        <v>0</v>
      </c>
      <c r="E25" s="337">
        <v>0</v>
      </c>
      <c r="F25" s="337">
        <v>0</v>
      </c>
      <c r="G25" s="337">
        <v>0</v>
      </c>
      <c r="H25" s="337">
        <v>0</v>
      </c>
      <c r="I25" s="337">
        <v>0</v>
      </c>
      <c r="J25" s="337">
        <v>0</v>
      </c>
      <c r="K25" s="337">
        <v>0</v>
      </c>
      <c r="L25" s="337">
        <v>0</v>
      </c>
      <c r="M25" s="337">
        <v>0</v>
      </c>
      <c r="N25" s="337">
        <v>0</v>
      </c>
      <c r="O25" s="337">
        <v>0</v>
      </c>
      <c r="P25" s="337">
        <f>SUM(D25:O25)</f>
        <v>0</v>
      </c>
      <c r="Q25" s="336" t="str">
        <f>[1]Master!AF25</f>
        <v>FRANCE</v>
      </c>
    </row>
    <row r="26" spans="2:17" ht="15.75" thickBot="1" x14ac:dyDescent="0.3">
      <c r="B26" s="336" t="str">
        <f>[1]Master!AF26</f>
        <v>GUINEA</v>
      </c>
      <c r="C26" s="332" t="str">
        <f>[1]Master!AG26</f>
        <v>GV</v>
      </c>
      <c r="D26" s="337">
        <v>0</v>
      </c>
      <c r="E26" s="337">
        <v>0</v>
      </c>
      <c r="F26" s="337">
        <v>0</v>
      </c>
      <c r="G26" s="337">
        <v>0</v>
      </c>
      <c r="H26" s="337">
        <v>0</v>
      </c>
      <c r="I26" s="337">
        <v>0</v>
      </c>
      <c r="J26" s="337">
        <v>0</v>
      </c>
      <c r="K26" s="337">
        <v>0</v>
      </c>
      <c r="L26" s="337">
        <v>0</v>
      </c>
      <c r="M26" s="337">
        <v>0</v>
      </c>
      <c r="N26" s="337">
        <v>0</v>
      </c>
      <c r="O26" s="337">
        <v>0</v>
      </c>
      <c r="P26" s="337">
        <f>SUM(D26:O26)</f>
        <v>0</v>
      </c>
      <c r="Q26" s="336" t="str">
        <f>[1]Master!AF26</f>
        <v>GUINEA</v>
      </c>
    </row>
    <row r="27" spans="2:17" ht="15.75" thickBot="1" x14ac:dyDescent="0.3">
      <c r="B27" s="336" t="str">
        <f>[1]Master!AF27</f>
        <v>HAITI</v>
      </c>
      <c r="C27" s="332" t="str">
        <f>[1]Master!AG27</f>
        <v>HA</v>
      </c>
      <c r="D27" s="337">
        <v>0</v>
      </c>
      <c r="E27" s="337">
        <v>0</v>
      </c>
      <c r="F27" s="337">
        <v>0</v>
      </c>
      <c r="G27" s="337">
        <v>0</v>
      </c>
      <c r="H27" s="337">
        <v>0</v>
      </c>
      <c r="I27" s="337">
        <v>0</v>
      </c>
      <c r="J27" s="337">
        <v>0</v>
      </c>
      <c r="K27" s="337">
        <v>0</v>
      </c>
      <c r="L27" s="337">
        <v>0</v>
      </c>
      <c r="M27" s="337">
        <v>0</v>
      </c>
      <c r="N27" s="337">
        <v>0</v>
      </c>
      <c r="O27" s="337">
        <v>0</v>
      </c>
      <c r="P27" s="337">
        <f>SUM(D27:O27)</f>
        <v>0</v>
      </c>
      <c r="Q27" s="336" t="str">
        <f>[1]Master!AF27</f>
        <v>HAITI</v>
      </c>
    </row>
    <row r="28" spans="2:17" ht="15.75" thickBot="1" x14ac:dyDescent="0.3">
      <c r="B28" s="336" t="str">
        <f>[1]Master!AF28</f>
        <v>INDIA</v>
      </c>
      <c r="C28" s="332" t="str">
        <f>[1]Master!AG28</f>
        <v>IN</v>
      </c>
      <c r="D28" s="337">
        <v>0</v>
      </c>
      <c r="E28" s="337">
        <v>0</v>
      </c>
      <c r="F28" s="337">
        <v>0</v>
      </c>
      <c r="G28" s="337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  <c r="M28" s="337">
        <v>0</v>
      </c>
      <c r="N28" s="337">
        <v>0</v>
      </c>
      <c r="O28" s="337">
        <v>0</v>
      </c>
      <c r="P28" s="337">
        <f>SUM(D28:O28)</f>
        <v>0</v>
      </c>
      <c r="Q28" s="336" t="str">
        <f>[1]Master!AF28</f>
        <v>INDIA</v>
      </c>
    </row>
    <row r="29" spans="2:17" ht="15.75" thickBot="1" x14ac:dyDescent="0.3">
      <c r="B29" s="336" t="str">
        <f>[1]Master!AF29</f>
        <v>INDONESIA</v>
      </c>
      <c r="C29" s="332" t="str">
        <f>[1]Master!AG29</f>
        <v>ID</v>
      </c>
      <c r="D29" s="337">
        <v>0</v>
      </c>
      <c r="E29" s="337">
        <v>0</v>
      </c>
      <c r="F29" s="337">
        <v>0</v>
      </c>
      <c r="G29" s="337">
        <v>0</v>
      </c>
      <c r="H29" s="337">
        <v>0</v>
      </c>
      <c r="I29" s="337">
        <v>0</v>
      </c>
      <c r="J29" s="337">
        <v>0</v>
      </c>
      <c r="K29" s="337">
        <v>0</v>
      </c>
      <c r="L29" s="337">
        <v>0</v>
      </c>
      <c r="M29" s="337">
        <v>0</v>
      </c>
      <c r="N29" s="337">
        <v>0</v>
      </c>
      <c r="O29" s="337">
        <v>0</v>
      </c>
      <c r="P29" s="337">
        <f>SUM(D29:O29)</f>
        <v>0</v>
      </c>
      <c r="Q29" s="336" t="str">
        <f>[1]Master!AF29</f>
        <v>INDONESIA</v>
      </c>
    </row>
    <row r="30" spans="2:17" ht="15.75" thickBot="1" x14ac:dyDescent="0.3">
      <c r="B30" s="336" t="str">
        <f>[1]Master!AF30</f>
        <v>IRAN</v>
      </c>
      <c r="C30" s="332" t="str">
        <f>[1]Master!AG30</f>
        <v>IR</v>
      </c>
      <c r="D30" s="337">
        <v>0</v>
      </c>
      <c r="E30" s="337">
        <v>0</v>
      </c>
      <c r="F30" s="337">
        <v>0</v>
      </c>
      <c r="G30" s="337">
        <v>0</v>
      </c>
      <c r="H30" s="337">
        <v>0</v>
      </c>
      <c r="I30" s="337">
        <v>0</v>
      </c>
      <c r="J30" s="337">
        <v>0</v>
      </c>
      <c r="K30" s="337">
        <v>0</v>
      </c>
      <c r="L30" s="337">
        <v>0</v>
      </c>
      <c r="M30" s="337">
        <v>0</v>
      </c>
      <c r="N30" s="337">
        <v>0</v>
      </c>
      <c r="O30" s="337">
        <v>0</v>
      </c>
      <c r="P30" s="337">
        <f>SUM(D30:O30)</f>
        <v>0</v>
      </c>
      <c r="Q30" s="336" t="str">
        <f>[1]Master!AF30</f>
        <v>IRAN</v>
      </c>
    </row>
    <row r="31" spans="2:17" ht="15.75" thickBot="1" x14ac:dyDescent="0.3">
      <c r="B31" s="336" t="str">
        <f>[1]Master!AF31</f>
        <v>IRAQ</v>
      </c>
      <c r="C31" s="332" t="str">
        <f>[1]Master!AG31</f>
        <v>IZ</v>
      </c>
      <c r="D31" s="337">
        <v>0</v>
      </c>
      <c r="E31" s="337">
        <v>5</v>
      </c>
      <c r="F31" s="337">
        <v>1</v>
      </c>
      <c r="G31" s="337">
        <v>0</v>
      </c>
      <c r="H31" s="337">
        <v>0</v>
      </c>
      <c r="I31" s="337">
        <v>0</v>
      </c>
      <c r="J31" s="337">
        <v>0</v>
      </c>
      <c r="K31" s="337">
        <v>0</v>
      </c>
      <c r="L31" s="337">
        <v>0</v>
      </c>
      <c r="M31" s="337">
        <v>0</v>
      </c>
      <c r="N31" s="337">
        <v>0</v>
      </c>
      <c r="O31" s="337">
        <v>0</v>
      </c>
      <c r="P31" s="337">
        <f>SUM(D31:O31)</f>
        <v>6</v>
      </c>
      <c r="Q31" s="336" t="str">
        <f>[1]Master!AF31</f>
        <v>IRAQ</v>
      </c>
    </row>
    <row r="32" spans="2:17" ht="15.75" thickBot="1" x14ac:dyDescent="0.3">
      <c r="B32" s="336" t="str">
        <f>[1]Master!AF32</f>
        <v>IVORY COAST</v>
      </c>
      <c r="C32" s="332" t="str">
        <f>[1]Master!AG32</f>
        <v>IV</v>
      </c>
      <c r="D32" s="337">
        <v>0</v>
      </c>
      <c r="E32" s="337">
        <v>0</v>
      </c>
      <c r="F32" s="337">
        <v>0</v>
      </c>
      <c r="G32" s="337">
        <v>0</v>
      </c>
      <c r="H32" s="337">
        <v>0</v>
      </c>
      <c r="I32" s="337">
        <v>0</v>
      </c>
      <c r="J32" s="337">
        <v>0</v>
      </c>
      <c r="K32" s="337">
        <v>0</v>
      </c>
      <c r="L32" s="337">
        <v>0</v>
      </c>
      <c r="M32" s="337">
        <v>0</v>
      </c>
      <c r="N32" s="337">
        <v>0</v>
      </c>
      <c r="O32" s="337">
        <v>0</v>
      </c>
      <c r="P32" s="337">
        <f>SUM(D32:O32)</f>
        <v>0</v>
      </c>
      <c r="Q32" s="336" t="str">
        <f>[1]Master!AF32</f>
        <v>IVORY COAST</v>
      </c>
    </row>
    <row r="33" spans="2:17" ht="15.75" thickBot="1" x14ac:dyDescent="0.3">
      <c r="B33" s="336" t="str">
        <f>[1]Master!AF33</f>
        <v>JORDAN</v>
      </c>
      <c r="C33" s="332" t="str">
        <f>[1]Master!AG33</f>
        <v>JO</v>
      </c>
      <c r="D33" s="337">
        <v>0</v>
      </c>
      <c r="E33" s="337">
        <v>0</v>
      </c>
      <c r="F33" s="337">
        <v>0</v>
      </c>
      <c r="G33" s="337">
        <v>0</v>
      </c>
      <c r="H33" s="337">
        <v>0</v>
      </c>
      <c r="I33" s="337">
        <v>0</v>
      </c>
      <c r="J33" s="337">
        <v>0</v>
      </c>
      <c r="K33" s="337">
        <v>0</v>
      </c>
      <c r="L33" s="337">
        <v>0</v>
      </c>
      <c r="M33" s="337">
        <v>0</v>
      </c>
      <c r="N33" s="337">
        <v>0</v>
      </c>
      <c r="O33" s="337">
        <v>0</v>
      </c>
      <c r="P33" s="337">
        <f>SUM(D33:O33)</f>
        <v>0</v>
      </c>
      <c r="Q33" s="336" t="str">
        <f>[1]Master!AF33</f>
        <v>JORDAN</v>
      </c>
    </row>
    <row r="34" spans="2:17" ht="15.75" thickBot="1" x14ac:dyDescent="0.3">
      <c r="B34" s="336" t="str">
        <f>[1]Master!AF34</f>
        <v>KAZAKHSTAN</v>
      </c>
      <c r="C34" s="332" t="str">
        <f>[1]Master!AG34</f>
        <v>KZ</v>
      </c>
      <c r="D34" s="337">
        <v>0</v>
      </c>
      <c r="E34" s="337">
        <v>0</v>
      </c>
      <c r="F34" s="337">
        <v>0</v>
      </c>
      <c r="G34" s="337">
        <v>0</v>
      </c>
      <c r="H34" s="337">
        <v>0</v>
      </c>
      <c r="I34" s="337">
        <v>0</v>
      </c>
      <c r="J34" s="337">
        <v>0</v>
      </c>
      <c r="K34" s="337">
        <v>0</v>
      </c>
      <c r="L34" s="337">
        <v>0</v>
      </c>
      <c r="M34" s="337">
        <v>0</v>
      </c>
      <c r="N34" s="337">
        <v>0</v>
      </c>
      <c r="O34" s="337">
        <v>0</v>
      </c>
      <c r="P34" s="337">
        <f>SUM(D34:O34)</f>
        <v>0</v>
      </c>
      <c r="Q34" s="336" t="str">
        <f>[1]Master!AF34</f>
        <v>KAZAKHSTAN</v>
      </c>
    </row>
    <row r="35" spans="2:17" ht="15.75" thickBot="1" x14ac:dyDescent="0.3">
      <c r="B35" s="336" t="str">
        <f>[1]Master!AF35</f>
        <v>KENYA</v>
      </c>
      <c r="C35" s="332" t="str">
        <f>[1]Master!AG35</f>
        <v>KE</v>
      </c>
      <c r="D35" s="337">
        <v>0</v>
      </c>
      <c r="E35" s="337">
        <v>0</v>
      </c>
      <c r="F35" s="337">
        <v>0</v>
      </c>
      <c r="G35" s="337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7">
        <v>0</v>
      </c>
      <c r="N35" s="337">
        <v>0</v>
      </c>
      <c r="O35" s="337">
        <v>0</v>
      </c>
      <c r="P35" s="337">
        <f>SUM(D35:O35)</f>
        <v>0</v>
      </c>
      <c r="Q35" s="336" t="str">
        <f>[1]Master!AF35</f>
        <v>KENYA</v>
      </c>
    </row>
    <row r="36" spans="2:17" ht="15.75" thickBot="1" x14ac:dyDescent="0.3">
      <c r="B36" s="336" t="str">
        <f>[1]Master!AF36</f>
        <v>LEBANON</v>
      </c>
      <c r="C36" s="332" t="str">
        <f>[1]Master!AG36</f>
        <v>LE</v>
      </c>
      <c r="D36" s="337">
        <v>0</v>
      </c>
      <c r="E36" s="337">
        <v>0</v>
      </c>
      <c r="F36" s="337">
        <v>0</v>
      </c>
      <c r="G36" s="337">
        <v>0</v>
      </c>
      <c r="H36" s="337">
        <v>0</v>
      </c>
      <c r="I36" s="337">
        <v>0</v>
      </c>
      <c r="J36" s="337">
        <v>0</v>
      </c>
      <c r="K36" s="337">
        <v>0</v>
      </c>
      <c r="L36" s="337">
        <v>0</v>
      </c>
      <c r="M36" s="337">
        <v>0</v>
      </c>
      <c r="N36" s="337">
        <v>0</v>
      </c>
      <c r="O36" s="337">
        <v>0</v>
      </c>
      <c r="P36" s="337">
        <f>SUM(D36:O36)</f>
        <v>0</v>
      </c>
      <c r="Q36" s="336" t="str">
        <f>[1]Master!AF36</f>
        <v>LEBANON</v>
      </c>
    </row>
    <row r="37" spans="2:17" ht="15.75" thickBot="1" x14ac:dyDescent="0.3">
      <c r="B37" s="336" t="str">
        <f>[1]Master!AF37</f>
        <v>LIBERIA</v>
      </c>
      <c r="C37" s="332" t="str">
        <f>[1]Master!AG37</f>
        <v>LI</v>
      </c>
      <c r="D37" s="337">
        <v>0</v>
      </c>
      <c r="E37" s="337">
        <v>0</v>
      </c>
      <c r="F37" s="337">
        <v>0</v>
      </c>
      <c r="G37" s="337">
        <v>0</v>
      </c>
      <c r="H37" s="337">
        <v>0</v>
      </c>
      <c r="I37" s="337">
        <v>0</v>
      </c>
      <c r="J37" s="337">
        <v>0</v>
      </c>
      <c r="K37" s="337">
        <v>0</v>
      </c>
      <c r="L37" s="337">
        <v>0</v>
      </c>
      <c r="M37" s="337">
        <v>0</v>
      </c>
      <c r="N37" s="337">
        <v>0</v>
      </c>
      <c r="O37" s="337">
        <v>0</v>
      </c>
      <c r="P37" s="337">
        <f>SUM(D37:O37)</f>
        <v>0</v>
      </c>
      <c r="Q37" s="336" t="str">
        <f>[1]Master!AF37</f>
        <v>LIBERIA</v>
      </c>
    </row>
    <row r="38" spans="2:17" ht="15.75" thickBot="1" x14ac:dyDescent="0.3">
      <c r="B38" s="336" t="str">
        <f>[1]Master!AF38</f>
        <v>LIBYA</v>
      </c>
      <c r="C38" s="332" t="str">
        <f>[1]Master!AG38</f>
        <v>LY</v>
      </c>
      <c r="D38" s="337">
        <v>0</v>
      </c>
      <c r="E38" s="337">
        <v>0</v>
      </c>
      <c r="F38" s="337">
        <v>0</v>
      </c>
      <c r="G38" s="337">
        <v>0</v>
      </c>
      <c r="H38" s="337">
        <v>0</v>
      </c>
      <c r="I38" s="337">
        <v>0</v>
      </c>
      <c r="J38" s="337">
        <v>0</v>
      </c>
      <c r="K38" s="337">
        <v>0</v>
      </c>
      <c r="L38" s="337">
        <v>0</v>
      </c>
      <c r="M38" s="337">
        <v>0</v>
      </c>
      <c r="N38" s="337">
        <v>0</v>
      </c>
      <c r="O38" s="337">
        <v>0</v>
      </c>
      <c r="P38" s="337">
        <f>SUM(D38:O38)</f>
        <v>0</v>
      </c>
      <c r="Q38" s="336" t="str">
        <f>[1]Master!AF38</f>
        <v>LIBYA</v>
      </c>
    </row>
    <row r="39" spans="2:17" ht="15.75" thickBot="1" x14ac:dyDescent="0.3">
      <c r="B39" s="336" t="str">
        <f>[1]Master!AF39</f>
        <v>MOLDOVA</v>
      </c>
      <c r="C39" s="332" t="str">
        <f>[1]Master!AG39</f>
        <v>MD</v>
      </c>
      <c r="D39" s="337">
        <v>0</v>
      </c>
      <c r="E39" s="337">
        <v>0</v>
      </c>
      <c r="F39" s="337">
        <v>0</v>
      </c>
      <c r="G39" s="337">
        <v>0</v>
      </c>
      <c r="H39" s="337">
        <v>0</v>
      </c>
      <c r="I39" s="337">
        <v>0</v>
      </c>
      <c r="J39" s="337">
        <v>0</v>
      </c>
      <c r="K39" s="337">
        <v>0</v>
      </c>
      <c r="L39" s="337">
        <v>0</v>
      </c>
      <c r="M39" s="337">
        <v>0</v>
      </c>
      <c r="N39" s="337">
        <v>0</v>
      </c>
      <c r="O39" s="337">
        <v>0</v>
      </c>
      <c r="P39" s="337">
        <f>SUM(D39:O39)</f>
        <v>0</v>
      </c>
      <c r="Q39" s="336" t="str">
        <f>[1]Master!AF39</f>
        <v>MOLDOVA</v>
      </c>
    </row>
    <row r="40" spans="2:17" ht="15.75" thickBot="1" x14ac:dyDescent="0.3">
      <c r="B40" s="336" t="str">
        <f>[1]Master!AF40</f>
        <v>MALI</v>
      </c>
      <c r="C40" s="332" t="str">
        <f>[1]Master!AG40</f>
        <v>ML</v>
      </c>
      <c r="D40" s="337">
        <v>0</v>
      </c>
      <c r="E40" s="337">
        <v>0</v>
      </c>
      <c r="F40" s="337">
        <v>0</v>
      </c>
      <c r="G40" s="33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37">
        <v>0</v>
      </c>
      <c r="N40" s="337">
        <v>0</v>
      </c>
      <c r="O40" s="337">
        <v>0</v>
      </c>
      <c r="P40" s="337">
        <f>SUM(D40:O40)</f>
        <v>0</v>
      </c>
      <c r="Q40" s="336" t="str">
        <f>[1]Master!AF40</f>
        <v>MALI</v>
      </c>
    </row>
    <row r="41" spans="2:17" ht="15.75" thickBot="1" x14ac:dyDescent="0.3">
      <c r="B41" s="336" t="str">
        <f>[1]Master!AF41</f>
        <v>MALAYSIA</v>
      </c>
      <c r="C41" s="332" t="str">
        <f>[1]Master!AG41</f>
        <v>MY</v>
      </c>
      <c r="D41" s="337">
        <v>0</v>
      </c>
      <c r="E41" s="337">
        <v>0</v>
      </c>
      <c r="F41" s="337">
        <v>0</v>
      </c>
      <c r="G41" s="337">
        <v>0</v>
      </c>
      <c r="H41" s="337">
        <v>0</v>
      </c>
      <c r="I41" s="337">
        <v>0</v>
      </c>
      <c r="J41" s="337">
        <v>0</v>
      </c>
      <c r="K41" s="337">
        <v>0</v>
      </c>
      <c r="L41" s="337">
        <v>0</v>
      </c>
      <c r="M41" s="337">
        <v>0</v>
      </c>
      <c r="N41" s="337">
        <v>0</v>
      </c>
      <c r="O41" s="337">
        <v>0</v>
      </c>
      <c r="P41" s="337">
        <f>SUM(D41:O41)</f>
        <v>0</v>
      </c>
      <c r="Q41" s="336" t="str">
        <f>[1]Master!AF41</f>
        <v>MALAYSIA</v>
      </c>
    </row>
    <row r="42" spans="2:17" ht="15.75" thickBot="1" x14ac:dyDescent="0.3">
      <c r="B42" s="336" t="str">
        <f>[1]Master!AF42</f>
        <v>NAMIBIA</v>
      </c>
      <c r="C42" s="332" t="str">
        <f>[1]Master!AG42</f>
        <v>WA</v>
      </c>
      <c r="D42" s="337">
        <v>0</v>
      </c>
      <c r="E42" s="337">
        <v>0</v>
      </c>
      <c r="F42" s="337">
        <v>0</v>
      </c>
      <c r="G42" s="337">
        <v>0</v>
      </c>
      <c r="H42" s="337">
        <v>0</v>
      </c>
      <c r="I42" s="337">
        <v>0</v>
      </c>
      <c r="J42" s="337">
        <v>0</v>
      </c>
      <c r="K42" s="337">
        <v>0</v>
      </c>
      <c r="L42" s="337">
        <v>0</v>
      </c>
      <c r="M42" s="337">
        <v>0</v>
      </c>
      <c r="N42" s="337">
        <v>0</v>
      </c>
      <c r="O42" s="337">
        <v>0</v>
      </c>
      <c r="P42" s="337">
        <f>SUM(D42:O42)</f>
        <v>0</v>
      </c>
      <c r="Q42" s="336" t="str">
        <f>[1]Master!AF42</f>
        <v>NAMIBIA</v>
      </c>
    </row>
    <row r="43" spans="2:17" ht="15.75" thickBot="1" x14ac:dyDescent="0.3">
      <c r="B43" s="336" t="str">
        <f>[1]Master!AF43</f>
        <v>NEPAL</v>
      </c>
      <c r="C43" s="332" t="str">
        <f>[1]Master!AG43</f>
        <v>NP</v>
      </c>
      <c r="D43" s="337">
        <v>1</v>
      </c>
      <c r="E43" s="337">
        <v>1</v>
      </c>
      <c r="F43" s="337">
        <v>1</v>
      </c>
      <c r="G43" s="337">
        <v>0</v>
      </c>
      <c r="H43" s="337">
        <v>0</v>
      </c>
      <c r="I43" s="337">
        <v>0</v>
      </c>
      <c r="J43" s="337">
        <v>0</v>
      </c>
      <c r="K43" s="337">
        <v>0</v>
      </c>
      <c r="L43" s="337">
        <v>0</v>
      </c>
      <c r="M43" s="337">
        <v>0</v>
      </c>
      <c r="N43" s="337">
        <v>0</v>
      </c>
      <c r="O43" s="337">
        <v>0</v>
      </c>
      <c r="P43" s="337">
        <f>SUM(D43:O43)</f>
        <v>3</v>
      </c>
      <c r="Q43" s="336" t="str">
        <f>[1]Master!AF43</f>
        <v>NEPAL</v>
      </c>
    </row>
    <row r="44" spans="2:17" ht="15.75" thickBot="1" x14ac:dyDescent="0.3">
      <c r="B44" s="336" t="str">
        <f>[1]Master!AF44</f>
        <v>NIGERIA</v>
      </c>
      <c r="C44" s="332" t="str">
        <f>[1]Master!AG44</f>
        <v>NI</v>
      </c>
      <c r="D44" s="337">
        <v>0</v>
      </c>
      <c r="E44" s="337">
        <v>0</v>
      </c>
      <c r="F44" s="337">
        <v>0</v>
      </c>
      <c r="G44" s="337">
        <v>0</v>
      </c>
      <c r="H44" s="337">
        <v>0</v>
      </c>
      <c r="I44" s="337">
        <v>0</v>
      </c>
      <c r="J44" s="337">
        <v>0</v>
      </c>
      <c r="K44" s="337">
        <v>0</v>
      </c>
      <c r="L44" s="337">
        <v>0</v>
      </c>
      <c r="M44" s="337">
        <v>0</v>
      </c>
      <c r="N44" s="337">
        <v>0</v>
      </c>
      <c r="O44" s="337">
        <v>0</v>
      </c>
      <c r="P44" s="337">
        <f>SUM(D44:O44)</f>
        <v>0</v>
      </c>
      <c r="Q44" s="336" t="str">
        <f>[1]Master!AF44</f>
        <v>NIGERIA</v>
      </c>
    </row>
    <row r="45" spans="2:17" ht="15.75" thickBot="1" x14ac:dyDescent="0.3">
      <c r="B45" s="336" t="str">
        <f>[1]Master!AF45</f>
        <v>PAKISTAN</v>
      </c>
      <c r="C45" s="332" t="str">
        <f>[1]Master!AG45</f>
        <v>PK</v>
      </c>
      <c r="D45" s="337">
        <v>0</v>
      </c>
      <c r="E45" s="337">
        <v>0</v>
      </c>
      <c r="F45" s="337">
        <v>0</v>
      </c>
      <c r="G45" s="337">
        <v>0</v>
      </c>
      <c r="H45" s="337">
        <v>0</v>
      </c>
      <c r="I45" s="337">
        <v>0</v>
      </c>
      <c r="J45" s="337">
        <v>0</v>
      </c>
      <c r="K45" s="337">
        <v>0</v>
      </c>
      <c r="L45" s="337">
        <v>0</v>
      </c>
      <c r="M45" s="337">
        <v>0</v>
      </c>
      <c r="N45" s="337">
        <v>0</v>
      </c>
      <c r="O45" s="337">
        <v>0</v>
      </c>
      <c r="P45" s="337">
        <f>SUM(D45:O45)</f>
        <v>0</v>
      </c>
      <c r="Q45" s="336" t="str">
        <f>[1]Master!AF45</f>
        <v>PAKISTAN</v>
      </c>
    </row>
    <row r="46" spans="2:17" ht="15.75" thickBot="1" x14ac:dyDescent="0.3">
      <c r="B46" s="336" t="str">
        <f>[1]Master!AF46</f>
        <v>PITCAIRN ISLANDS</v>
      </c>
      <c r="C46" s="332" t="str">
        <f>[1]Master!AG46</f>
        <v>PN</v>
      </c>
      <c r="D46" s="337">
        <v>0</v>
      </c>
      <c r="E46" s="337">
        <v>0</v>
      </c>
      <c r="F46" s="337">
        <v>0</v>
      </c>
      <c r="G46" s="337">
        <v>0</v>
      </c>
      <c r="H46" s="337">
        <v>0</v>
      </c>
      <c r="I46" s="337">
        <v>0</v>
      </c>
      <c r="J46" s="337">
        <v>0</v>
      </c>
      <c r="K46" s="337">
        <v>0</v>
      </c>
      <c r="L46" s="337">
        <v>0</v>
      </c>
      <c r="M46" s="337">
        <v>0</v>
      </c>
      <c r="N46" s="337">
        <v>0</v>
      </c>
      <c r="O46" s="337">
        <v>0</v>
      </c>
      <c r="P46" s="337">
        <f>SUM(D46:O46)</f>
        <v>0</v>
      </c>
      <c r="Q46" s="336" t="str">
        <f>[1]Master!AF46</f>
        <v>PITCAIRN ISLANDS</v>
      </c>
    </row>
    <row r="47" spans="2:17" ht="15.75" thickBot="1" x14ac:dyDescent="0.3">
      <c r="B47" s="336" t="str">
        <f>[1]Master!AF47</f>
        <v>RWANDA</v>
      </c>
      <c r="C47" s="332" t="str">
        <f>[1]Master!AG47</f>
        <v>RW</v>
      </c>
      <c r="D47" s="337">
        <v>0</v>
      </c>
      <c r="E47" s="337">
        <v>0</v>
      </c>
      <c r="F47" s="337">
        <v>0</v>
      </c>
      <c r="G47" s="337">
        <v>0</v>
      </c>
      <c r="H47" s="337">
        <v>0</v>
      </c>
      <c r="I47" s="337">
        <v>0</v>
      </c>
      <c r="J47" s="337">
        <v>0</v>
      </c>
      <c r="K47" s="337">
        <v>0</v>
      </c>
      <c r="L47" s="337">
        <v>0</v>
      </c>
      <c r="M47" s="337">
        <v>0</v>
      </c>
      <c r="N47" s="337">
        <v>0</v>
      </c>
      <c r="O47" s="337">
        <v>0</v>
      </c>
      <c r="P47" s="337">
        <f>SUM(D47:O47)</f>
        <v>0</v>
      </c>
      <c r="Q47" s="336" t="str">
        <f>[1]Master!AF47</f>
        <v>RWANDA</v>
      </c>
    </row>
    <row r="48" spans="2:17" ht="15.75" thickBot="1" x14ac:dyDescent="0.3">
      <c r="B48" s="336" t="str">
        <f>[1]Master!AF48</f>
        <v>RUSSIA</v>
      </c>
      <c r="C48" s="332" t="str">
        <f>[1]Master!AG48</f>
        <v>RS</v>
      </c>
      <c r="D48" s="337">
        <v>0</v>
      </c>
      <c r="E48" s="337">
        <v>0</v>
      </c>
      <c r="F48" s="337">
        <v>0</v>
      </c>
      <c r="G48" s="337">
        <v>0</v>
      </c>
      <c r="H48" s="337">
        <v>0</v>
      </c>
      <c r="I48" s="337">
        <v>0</v>
      </c>
      <c r="J48" s="337">
        <v>0</v>
      </c>
      <c r="K48" s="337">
        <v>0</v>
      </c>
      <c r="L48" s="337">
        <v>0</v>
      </c>
      <c r="M48" s="337">
        <v>0</v>
      </c>
      <c r="N48" s="337">
        <v>0</v>
      </c>
      <c r="O48" s="337">
        <v>0</v>
      </c>
      <c r="P48" s="337">
        <f>SUM(D48:O48)</f>
        <v>0</v>
      </c>
      <c r="Q48" s="336" t="str">
        <f>[1]Master!AF48</f>
        <v>RUSSIA</v>
      </c>
    </row>
    <row r="49" spans="2:21" ht="15.75" thickBot="1" x14ac:dyDescent="0.3">
      <c r="B49" s="336" t="str">
        <f>[1]Master!AF49</f>
        <v>SIERRA LEON</v>
      </c>
      <c r="C49" s="332" t="str">
        <f>[1]Master!AG49</f>
        <v>SL</v>
      </c>
      <c r="D49" s="337">
        <v>0</v>
      </c>
      <c r="E49" s="337">
        <v>0</v>
      </c>
      <c r="F49" s="337">
        <v>0</v>
      </c>
      <c r="G49" s="337">
        <v>0</v>
      </c>
      <c r="H49" s="337">
        <v>0</v>
      </c>
      <c r="I49" s="337">
        <v>0</v>
      </c>
      <c r="J49" s="337">
        <v>0</v>
      </c>
      <c r="K49" s="337">
        <v>0</v>
      </c>
      <c r="L49" s="337">
        <v>0</v>
      </c>
      <c r="M49" s="337">
        <v>0</v>
      </c>
      <c r="N49" s="337">
        <v>0</v>
      </c>
      <c r="O49" s="337">
        <v>0</v>
      </c>
      <c r="P49" s="337">
        <f>SUM(D49:O49)</f>
        <v>0</v>
      </c>
      <c r="Q49" s="336" t="str">
        <f>[1]Master!AF49</f>
        <v>SIERRA LEON</v>
      </c>
    </row>
    <row r="50" spans="2:21" ht="15.75" thickBot="1" x14ac:dyDescent="0.3">
      <c r="B50" s="336" t="str">
        <f>[1]Master!AF50</f>
        <v>SOMALIA</v>
      </c>
      <c r="C50" s="332" t="str">
        <f>[1]Master!AG50</f>
        <v>SO</v>
      </c>
      <c r="D50" s="337">
        <v>7</v>
      </c>
      <c r="E50" s="337">
        <v>0</v>
      </c>
      <c r="F50" s="337">
        <v>0</v>
      </c>
      <c r="G50" s="337">
        <v>0</v>
      </c>
      <c r="H50" s="337">
        <v>0</v>
      </c>
      <c r="I50" s="337">
        <v>0</v>
      </c>
      <c r="J50" s="337">
        <v>0</v>
      </c>
      <c r="K50" s="337">
        <v>0</v>
      </c>
      <c r="L50" s="337">
        <v>0</v>
      </c>
      <c r="M50" s="337">
        <v>0</v>
      </c>
      <c r="N50" s="337">
        <v>0</v>
      </c>
      <c r="O50" s="337">
        <v>0</v>
      </c>
      <c r="P50" s="337">
        <f>SUM(D50:O50)</f>
        <v>7</v>
      </c>
      <c r="Q50" s="336" t="str">
        <f>[1]Master!AF50</f>
        <v>SOMALIA</v>
      </c>
    </row>
    <row r="51" spans="2:21" ht="15.75" thickBot="1" x14ac:dyDescent="0.3">
      <c r="B51" s="336" t="str">
        <f>[1]Master!AF51</f>
        <v>SPAIN</v>
      </c>
      <c r="C51" s="332" t="str">
        <f>[1]Master!AG51</f>
        <v>ES</v>
      </c>
      <c r="D51" s="337">
        <v>0</v>
      </c>
      <c r="E51" s="337">
        <v>0</v>
      </c>
      <c r="F51" s="337">
        <v>0</v>
      </c>
      <c r="G51" s="337">
        <v>0</v>
      </c>
      <c r="H51" s="337">
        <v>0</v>
      </c>
      <c r="I51" s="337">
        <v>0</v>
      </c>
      <c r="J51" s="337">
        <v>0</v>
      </c>
      <c r="K51" s="337">
        <v>0</v>
      </c>
      <c r="L51" s="337">
        <v>0</v>
      </c>
      <c r="M51" s="337">
        <v>0</v>
      </c>
      <c r="N51" s="337">
        <v>0</v>
      </c>
      <c r="O51" s="337">
        <v>0</v>
      </c>
      <c r="P51" s="337">
        <f>SUM(D51:O51)</f>
        <v>0</v>
      </c>
      <c r="Q51" s="336" t="str">
        <f>[1]Master!AF51</f>
        <v>SPAIN</v>
      </c>
    </row>
    <row r="52" spans="2:21" ht="15.75" thickBot="1" x14ac:dyDescent="0.3">
      <c r="B52" s="336" t="str">
        <f>[1]Master!AF52</f>
        <v>SOUTH SUDAN</v>
      </c>
      <c r="C52" s="332" t="str">
        <f>[1]Master!AG52</f>
        <v>SS</v>
      </c>
      <c r="D52" s="337">
        <v>0</v>
      </c>
      <c r="E52" s="337">
        <v>0</v>
      </c>
      <c r="F52" s="337">
        <v>0</v>
      </c>
      <c r="G52" s="337">
        <v>0</v>
      </c>
      <c r="H52" s="337">
        <v>0</v>
      </c>
      <c r="I52" s="337">
        <v>0</v>
      </c>
      <c r="J52" s="337">
        <v>0</v>
      </c>
      <c r="K52" s="337">
        <v>0</v>
      </c>
      <c r="L52" s="337">
        <v>0</v>
      </c>
      <c r="M52" s="337">
        <v>0</v>
      </c>
      <c r="N52" s="337">
        <v>0</v>
      </c>
      <c r="O52" s="337">
        <v>0</v>
      </c>
      <c r="P52" s="337">
        <f>SUM(D52:O52)</f>
        <v>0</v>
      </c>
      <c r="Q52" s="336" t="str">
        <f>[1]Master!AF52</f>
        <v>SOUTH SUDAN</v>
      </c>
    </row>
    <row r="53" spans="2:21" ht="15.75" thickBot="1" x14ac:dyDescent="0.3">
      <c r="B53" s="336" t="str">
        <f>[1]Master!AF53</f>
        <v>SRI LANKA</v>
      </c>
      <c r="C53" s="332" t="str">
        <f>[1]Master!AG53</f>
        <v>CE</v>
      </c>
      <c r="D53" s="337">
        <v>0</v>
      </c>
      <c r="E53" s="337">
        <v>0</v>
      </c>
      <c r="F53" s="337">
        <v>0</v>
      </c>
      <c r="G53" s="337">
        <v>0</v>
      </c>
      <c r="H53" s="337">
        <v>0</v>
      </c>
      <c r="I53" s="337">
        <v>0</v>
      </c>
      <c r="J53" s="337">
        <v>0</v>
      </c>
      <c r="K53" s="337">
        <v>0</v>
      </c>
      <c r="L53" s="337">
        <v>0</v>
      </c>
      <c r="M53" s="337">
        <v>0</v>
      </c>
      <c r="N53" s="337">
        <v>0</v>
      </c>
      <c r="O53" s="337">
        <v>0</v>
      </c>
      <c r="P53" s="337">
        <f>SUM(D53:O53)</f>
        <v>0</v>
      </c>
      <c r="Q53" s="336" t="str">
        <f>[1]Master!AF53</f>
        <v>SRI LANKA</v>
      </c>
    </row>
    <row r="54" spans="2:21" ht="15.75" thickBot="1" x14ac:dyDescent="0.3">
      <c r="B54" s="336" t="str">
        <f>[1]Master!AF54</f>
        <v>SUDAN</v>
      </c>
      <c r="C54" s="332" t="str">
        <f>[1]Master!AG54</f>
        <v>SU</v>
      </c>
      <c r="D54" s="337">
        <v>0</v>
      </c>
      <c r="E54" s="337">
        <v>0</v>
      </c>
      <c r="F54" s="337">
        <v>0</v>
      </c>
      <c r="G54" s="337">
        <v>0</v>
      </c>
      <c r="H54" s="337">
        <v>0</v>
      </c>
      <c r="I54" s="337">
        <v>0</v>
      </c>
      <c r="J54" s="337">
        <v>6</v>
      </c>
      <c r="K54" s="337">
        <v>0</v>
      </c>
      <c r="L54" s="337">
        <v>0</v>
      </c>
      <c r="M54" s="337">
        <v>0</v>
      </c>
      <c r="N54" s="337">
        <v>0</v>
      </c>
      <c r="O54" s="337">
        <v>0</v>
      </c>
      <c r="P54" s="337">
        <f>SUM(D54:O54)</f>
        <v>6</v>
      </c>
      <c r="Q54" s="336" t="str">
        <f>[1]Master!AF54</f>
        <v>SUDAN</v>
      </c>
    </row>
    <row r="55" spans="2:21" s="54" customFormat="1" ht="15.75" thickBot="1" x14ac:dyDescent="0.3">
      <c r="B55" s="336" t="str">
        <f>[1]Master!AF55</f>
        <v>SYRIA</v>
      </c>
      <c r="C55" s="332" t="str">
        <f>[1]Master!AG55</f>
        <v>SY</v>
      </c>
      <c r="D55" s="337">
        <v>5</v>
      </c>
      <c r="E55" s="337">
        <v>6</v>
      </c>
      <c r="F55" s="337">
        <v>0</v>
      </c>
      <c r="G55" s="337">
        <v>0</v>
      </c>
      <c r="H55" s="337">
        <v>5</v>
      </c>
      <c r="I55" s="337">
        <v>0</v>
      </c>
      <c r="J55" s="337">
        <v>0</v>
      </c>
      <c r="K55" s="337">
        <v>0</v>
      </c>
      <c r="L55" s="337">
        <v>0</v>
      </c>
      <c r="M55" s="337">
        <v>0</v>
      </c>
      <c r="N55" s="337">
        <v>0</v>
      </c>
      <c r="O55" s="337">
        <v>0</v>
      </c>
      <c r="P55" s="337">
        <f>SUM(D55:O55)</f>
        <v>16</v>
      </c>
      <c r="Q55" s="336" t="str">
        <f>[1]Master!AF55</f>
        <v>SYRIA</v>
      </c>
      <c r="R55" s="263"/>
      <c r="S55" s="263"/>
      <c r="T55" s="263"/>
      <c r="U55" s="263"/>
    </row>
    <row r="56" spans="2:21" s="54" customFormat="1" ht="15.75" thickBot="1" x14ac:dyDescent="0.3">
      <c r="B56" s="336" t="str">
        <f>[1]Master!AF56</f>
        <v>TAJIKISTAN</v>
      </c>
      <c r="C56" s="332" t="str">
        <f>[1]Master!AG56</f>
        <v>TI</v>
      </c>
      <c r="D56" s="337">
        <v>0</v>
      </c>
      <c r="E56" s="337">
        <v>0</v>
      </c>
      <c r="F56" s="337">
        <v>0</v>
      </c>
      <c r="G56" s="337">
        <v>0</v>
      </c>
      <c r="H56" s="337">
        <v>0</v>
      </c>
      <c r="I56" s="337">
        <v>0</v>
      </c>
      <c r="J56" s="337">
        <v>0</v>
      </c>
      <c r="K56" s="337">
        <v>0</v>
      </c>
      <c r="L56" s="337">
        <v>0</v>
      </c>
      <c r="M56" s="337">
        <v>0</v>
      </c>
      <c r="N56" s="337">
        <v>0</v>
      </c>
      <c r="O56" s="337">
        <v>0</v>
      </c>
      <c r="P56" s="337">
        <f>SUM(D56:O56)</f>
        <v>0</v>
      </c>
      <c r="Q56" s="336" t="str">
        <f>[1]Master!AF56</f>
        <v>TAJIKISTAN</v>
      </c>
      <c r="R56" s="263"/>
      <c r="S56" s="263"/>
      <c r="T56" s="263"/>
    </row>
    <row r="57" spans="2:21" s="54" customFormat="1" ht="15.75" thickBot="1" x14ac:dyDescent="0.3">
      <c r="B57" s="336" t="str">
        <f>[1]Master!AF57</f>
        <v>TANZANIA</v>
      </c>
      <c r="C57" s="332" t="str">
        <f>[1]Master!AG57</f>
        <v>TZ</v>
      </c>
      <c r="D57" s="337">
        <v>0</v>
      </c>
      <c r="E57" s="337">
        <v>0</v>
      </c>
      <c r="F57" s="337">
        <v>0</v>
      </c>
      <c r="G57" s="337">
        <v>0</v>
      </c>
      <c r="H57" s="337">
        <v>0</v>
      </c>
      <c r="I57" s="337">
        <v>0</v>
      </c>
      <c r="J57" s="337">
        <v>0</v>
      </c>
      <c r="K57" s="337">
        <v>0</v>
      </c>
      <c r="L57" s="337">
        <v>0</v>
      </c>
      <c r="M57" s="337">
        <v>0</v>
      </c>
      <c r="N57" s="337">
        <v>0</v>
      </c>
      <c r="O57" s="337">
        <v>0</v>
      </c>
      <c r="P57" s="337">
        <f>SUM(D57:O57)</f>
        <v>0</v>
      </c>
      <c r="Q57" s="336" t="str">
        <f>[1]Master!AF57</f>
        <v>TANZANIA</v>
      </c>
    </row>
    <row r="58" spans="2:21" s="54" customFormat="1" ht="15.75" thickBot="1" x14ac:dyDescent="0.3">
      <c r="B58" s="336" t="str">
        <f>[1]Master!AF58</f>
        <v>THAILAND</v>
      </c>
      <c r="C58" s="332" t="str">
        <f>[1]Master!AG58</f>
        <v>TH</v>
      </c>
      <c r="D58" s="337">
        <v>0</v>
      </c>
      <c r="E58" s="337">
        <v>0</v>
      </c>
      <c r="F58" s="337">
        <v>0</v>
      </c>
      <c r="G58" s="337">
        <v>0</v>
      </c>
      <c r="H58" s="337">
        <v>0</v>
      </c>
      <c r="I58" s="337">
        <v>0</v>
      </c>
      <c r="J58" s="337">
        <v>0</v>
      </c>
      <c r="K58" s="337">
        <v>0</v>
      </c>
      <c r="L58" s="337">
        <v>0</v>
      </c>
      <c r="M58" s="337">
        <v>0</v>
      </c>
      <c r="N58" s="337">
        <v>0</v>
      </c>
      <c r="O58" s="337">
        <v>0</v>
      </c>
      <c r="P58" s="337">
        <f>SUM(D58:O58)</f>
        <v>0</v>
      </c>
      <c r="Q58" s="336" t="str">
        <f>[1]Master!AF58</f>
        <v>THAILAND</v>
      </c>
    </row>
    <row r="59" spans="2:21" s="54" customFormat="1" ht="15.75" thickBot="1" x14ac:dyDescent="0.3">
      <c r="B59" s="336" t="str">
        <f>[1]Master!AF59</f>
        <v>UGANDA</v>
      </c>
      <c r="C59" s="332" t="str">
        <f>[1]Master!AG59</f>
        <v>UG</v>
      </c>
      <c r="D59" s="337">
        <v>0</v>
      </c>
      <c r="E59" s="337">
        <v>0</v>
      </c>
      <c r="F59" s="337">
        <v>0</v>
      </c>
      <c r="G59" s="337">
        <v>0</v>
      </c>
      <c r="H59" s="337">
        <v>0</v>
      </c>
      <c r="I59" s="337">
        <v>0</v>
      </c>
      <c r="J59" s="337">
        <v>0</v>
      </c>
      <c r="K59" s="337">
        <v>0</v>
      </c>
      <c r="L59" s="337">
        <v>0</v>
      </c>
      <c r="M59" s="337">
        <v>0</v>
      </c>
      <c r="N59" s="337">
        <v>0</v>
      </c>
      <c r="O59" s="337">
        <v>0</v>
      </c>
      <c r="P59" s="337">
        <f>SUM(D59:O59)</f>
        <v>0</v>
      </c>
      <c r="Q59" s="336" t="str">
        <f>[1]Master!AF59</f>
        <v>UGANDA</v>
      </c>
    </row>
    <row r="60" spans="2:21" s="54" customFormat="1" ht="15.75" thickBot="1" x14ac:dyDescent="0.3">
      <c r="B60" s="336" t="str">
        <f>[1]Master!AF60</f>
        <v>UKRAINE</v>
      </c>
      <c r="C60" s="332" t="str">
        <f>[1]Master!AG60</f>
        <v>UP</v>
      </c>
      <c r="D60" s="338">
        <v>0</v>
      </c>
      <c r="E60" s="338">
        <v>0</v>
      </c>
      <c r="F60" s="338">
        <v>0</v>
      </c>
      <c r="G60" s="337">
        <v>0</v>
      </c>
      <c r="H60" s="338">
        <v>0</v>
      </c>
      <c r="I60" s="338">
        <v>0</v>
      </c>
      <c r="J60" s="338">
        <v>0</v>
      </c>
      <c r="K60" s="337">
        <v>0</v>
      </c>
      <c r="L60" s="338">
        <v>0</v>
      </c>
      <c r="M60" s="338">
        <v>0</v>
      </c>
      <c r="N60" s="338">
        <v>0</v>
      </c>
      <c r="O60" s="338">
        <v>0</v>
      </c>
      <c r="P60" s="337">
        <f>SUM(D60:O60)</f>
        <v>0</v>
      </c>
      <c r="Q60" s="336" t="str">
        <f>[1]Master!AF60</f>
        <v>UKRAINE</v>
      </c>
    </row>
    <row r="61" spans="2:21" s="54" customFormat="1" ht="15.75" thickBot="1" x14ac:dyDescent="0.3">
      <c r="B61" s="336" t="str">
        <f>[1]Master!AF61</f>
        <v>UZBEKISTAN</v>
      </c>
      <c r="C61" s="332" t="str">
        <f>[1]Master!AG61</f>
        <v>UZ</v>
      </c>
      <c r="D61" s="338">
        <v>0</v>
      </c>
      <c r="E61" s="338">
        <v>0</v>
      </c>
      <c r="F61" s="338">
        <v>0</v>
      </c>
      <c r="G61" s="337">
        <v>0</v>
      </c>
      <c r="H61" s="338">
        <v>0</v>
      </c>
      <c r="I61" s="338">
        <v>0</v>
      </c>
      <c r="J61" s="338">
        <v>0</v>
      </c>
      <c r="K61" s="337">
        <v>0</v>
      </c>
      <c r="L61" s="338">
        <v>0</v>
      </c>
      <c r="M61" s="338">
        <v>0</v>
      </c>
      <c r="N61" s="338">
        <v>0</v>
      </c>
      <c r="O61" s="338">
        <v>0</v>
      </c>
      <c r="P61" s="337">
        <f>SUM(D61:O61)</f>
        <v>0</v>
      </c>
      <c r="Q61" s="336" t="str">
        <f>[1]Master!AF61</f>
        <v>UZBEKISTAN</v>
      </c>
    </row>
    <row r="62" spans="2:21" ht="15.75" thickBot="1" x14ac:dyDescent="0.3">
      <c r="B62" s="336" t="str">
        <f>[1]Master!AF62</f>
        <v>VIETNAM</v>
      </c>
      <c r="C62" s="332" t="str">
        <f>[1]Master!AG62</f>
        <v>VM</v>
      </c>
      <c r="D62" s="338">
        <v>0</v>
      </c>
      <c r="E62" s="338">
        <v>0</v>
      </c>
      <c r="F62" s="338">
        <v>0</v>
      </c>
      <c r="G62" s="337">
        <v>0</v>
      </c>
      <c r="H62" s="338">
        <v>0</v>
      </c>
      <c r="I62" s="338">
        <v>0</v>
      </c>
      <c r="J62" s="338">
        <v>0</v>
      </c>
      <c r="K62" s="337">
        <v>0</v>
      </c>
      <c r="L62" s="338">
        <v>0</v>
      </c>
      <c r="M62" s="338">
        <v>0</v>
      </c>
      <c r="N62" s="338">
        <v>0</v>
      </c>
      <c r="O62" s="338">
        <v>0</v>
      </c>
      <c r="P62" s="337">
        <f>SUM(D62:O62)</f>
        <v>0</v>
      </c>
      <c r="Q62" s="336" t="str">
        <f>[1]Master!AF62</f>
        <v>VIETNAM</v>
      </c>
      <c r="R62" s="54"/>
      <c r="S62" s="54"/>
      <c r="T62" s="54"/>
      <c r="U62" s="54"/>
    </row>
    <row r="63" spans="2:21" ht="15.75" thickBot="1" x14ac:dyDescent="0.3">
      <c r="B63" s="336" t="str">
        <f>[1]Master!AF63</f>
        <v>ZAMBIA</v>
      </c>
      <c r="C63" s="332" t="str">
        <f>[1]Master!AG63</f>
        <v>ZA</v>
      </c>
      <c r="D63" s="338">
        <v>0</v>
      </c>
      <c r="E63" s="338">
        <v>0</v>
      </c>
      <c r="F63" s="338">
        <v>0</v>
      </c>
      <c r="G63" s="337">
        <v>0</v>
      </c>
      <c r="H63" s="338">
        <v>0</v>
      </c>
      <c r="I63" s="338">
        <v>0</v>
      </c>
      <c r="J63" s="338">
        <v>0</v>
      </c>
      <c r="K63" s="337">
        <v>0</v>
      </c>
      <c r="L63" s="338">
        <v>0</v>
      </c>
      <c r="M63" s="338">
        <v>0</v>
      </c>
      <c r="N63" s="338">
        <v>0</v>
      </c>
      <c r="O63" s="338">
        <v>0</v>
      </c>
      <c r="P63" s="337">
        <f>SUM(D63:O63)</f>
        <v>0</v>
      </c>
      <c r="Q63" s="336" t="str">
        <f>[1]Master!AF63</f>
        <v>ZAMBIA</v>
      </c>
      <c r="R63" s="54"/>
      <c r="S63" s="54"/>
      <c r="T63" s="54"/>
    </row>
    <row r="64" spans="2:21" ht="15.75" thickBot="1" x14ac:dyDescent="0.3">
      <c r="B64" s="339" t="s">
        <v>53</v>
      </c>
      <c r="C64" s="340"/>
      <c r="D64" s="341">
        <f>SUM(D5:D63)</f>
        <v>31</v>
      </c>
      <c r="E64" s="341">
        <f>SUM(E5:E63)</f>
        <v>22</v>
      </c>
      <c r="F64" s="341">
        <f>SUM(F5:F63)</f>
        <v>9</v>
      </c>
      <c r="G64" s="341">
        <f>SUM(G5:G63)</f>
        <v>5</v>
      </c>
      <c r="H64" s="341">
        <f>SUM(H5:H63)</f>
        <v>5</v>
      </c>
      <c r="I64" s="341">
        <f>SUM(I5:I63)</f>
        <v>8</v>
      </c>
      <c r="J64" s="341">
        <f>SUM(J5:J63)</f>
        <v>6</v>
      </c>
      <c r="K64" s="341">
        <f>SUM(K5:K63)</f>
        <v>5</v>
      </c>
      <c r="L64" s="341">
        <f>SUM(L5:L63)</f>
        <v>8</v>
      </c>
      <c r="M64" s="341">
        <f>SUM(M5:M63)</f>
        <v>0</v>
      </c>
      <c r="N64" s="341">
        <f>SUM(N5:N63)</f>
        <v>0</v>
      </c>
      <c r="O64" s="341">
        <v>7</v>
      </c>
      <c r="P64" s="341">
        <f>SUM(P5:P63)</f>
        <v>106</v>
      </c>
      <c r="Q64" s="342" t="s">
        <v>53</v>
      </c>
    </row>
    <row r="65" spans="2:17" ht="15.75" thickBot="1" x14ac:dyDescent="0.3">
      <c r="B65" s="343"/>
      <c r="C65" s="344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3"/>
    </row>
    <row r="66" spans="2:17" ht="15.75" thickBot="1" x14ac:dyDescent="0.3">
      <c r="B66" s="322" t="s">
        <v>11</v>
      </c>
      <c r="C66" s="323"/>
      <c r="D66" s="323" t="s">
        <v>12</v>
      </c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4"/>
    </row>
    <row r="67" spans="2:17" ht="15.75" thickBot="1" x14ac:dyDescent="0.3">
      <c r="B67" s="325"/>
      <c r="C67" s="326"/>
      <c r="D67" s="327" t="s">
        <v>19</v>
      </c>
      <c r="E67" s="327" t="s">
        <v>20</v>
      </c>
      <c r="F67" s="327" t="s">
        <v>21</v>
      </c>
      <c r="G67" s="327" t="s">
        <v>22</v>
      </c>
      <c r="H67" s="327" t="s">
        <v>23</v>
      </c>
      <c r="I67" s="327" t="s">
        <v>24</v>
      </c>
      <c r="J67" s="327" t="s">
        <v>25</v>
      </c>
      <c r="K67" s="327" t="s">
        <v>26</v>
      </c>
      <c r="L67" s="327" t="s">
        <v>27</v>
      </c>
      <c r="M67" s="327" t="s">
        <v>28</v>
      </c>
      <c r="N67" s="327" t="s">
        <v>29</v>
      </c>
      <c r="O67" s="327" t="s">
        <v>30</v>
      </c>
      <c r="P67" s="328" t="s">
        <v>40</v>
      </c>
      <c r="Q67" s="329"/>
    </row>
    <row r="68" spans="2:17" ht="15.75" thickBot="1" x14ac:dyDescent="0.3">
      <c r="B68" s="330"/>
      <c r="C68" s="331"/>
      <c r="D68" s="332">
        <v>10</v>
      </c>
      <c r="E68" s="333">
        <v>11</v>
      </c>
      <c r="F68" s="333">
        <v>12</v>
      </c>
      <c r="G68" s="333">
        <v>1</v>
      </c>
      <c r="H68" s="333">
        <v>2</v>
      </c>
      <c r="I68" s="333">
        <v>3</v>
      </c>
      <c r="J68" s="333">
        <v>4</v>
      </c>
      <c r="K68" s="333">
        <v>5</v>
      </c>
      <c r="L68" s="333">
        <v>6</v>
      </c>
      <c r="M68" s="333">
        <v>7</v>
      </c>
      <c r="N68" s="333">
        <v>8</v>
      </c>
      <c r="O68" s="333">
        <v>9</v>
      </c>
      <c r="P68" s="334"/>
      <c r="Q68" s="335"/>
    </row>
    <row r="69" spans="2:17" ht="15.75" thickBot="1" x14ac:dyDescent="0.3">
      <c r="B69" s="336" t="str">
        <f>[1]Master!AF7</f>
        <v>AFGHANISTAN</v>
      </c>
      <c r="C69" s="332" t="str">
        <f>[1]Master!AG7</f>
        <v>AF</v>
      </c>
      <c r="D69" s="337">
        <v>0</v>
      </c>
      <c r="E69" s="337">
        <v>0</v>
      </c>
      <c r="F69" s="337">
        <v>0</v>
      </c>
      <c r="G69" s="337">
        <v>0</v>
      </c>
      <c r="H69" s="337">
        <v>0</v>
      </c>
      <c r="I69" s="337">
        <v>0</v>
      </c>
      <c r="J69" s="337">
        <v>0</v>
      </c>
      <c r="K69" s="337">
        <v>0</v>
      </c>
      <c r="L69" s="337">
        <v>4</v>
      </c>
      <c r="M69" s="337">
        <v>0</v>
      </c>
      <c r="N69" s="337">
        <v>5</v>
      </c>
      <c r="O69" s="337">
        <v>9</v>
      </c>
      <c r="P69" s="337">
        <f>SUM(D69:O69)</f>
        <v>18</v>
      </c>
      <c r="Q69" s="336" t="str">
        <f>[1]Master!AF7</f>
        <v>AFGHANISTAN</v>
      </c>
    </row>
    <row r="70" spans="2:17" ht="15.75" thickBot="1" x14ac:dyDescent="0.3">
      <c r="B70" s="336" t="str">
        <f>[1]Master!AF8</f>
        <v>ARMENIA</v>
      </c>
      <c r="C70" s="332" t="str">
        <f>[1]Master!AG8</f>
        <v>AM</v>
      </c>
      <c r="D70" s="337">
        <v>0</v>
      </c>
      <c r="E70" s="337">
        <v>0</v>
      </c>
      <c r="F70" s="337">
        <v>0</v>
      </c>
      <c r="G70" s="337">
        <v>0</v>
      </c>
      <c r="H70" s="337">
        <v>0</v>
      </c>
      <c r="I70" s="337">
        <v>0</v>
      </c>
      <c r="J70" s="337">
        <v>0</v>
      </c>
      <c r="K70" s="337">
        <v>0</v>
      </c>
      <c r="L70" s="337">
        <v>0</v>
      </c>
      <c r="M70" s="337">
        <v>0</v>
      </c>
      <c r="N70" s="337">
        <v>0</v>
      </c>
      <c r="O70" s="337">
        <v>0</v>
      </c>
      <c r="P70" s="337">
        <f t="shared" ref="P70" si="1">SUM(D70:O70)</f>
        <v>0</v>
      </c>
      <c r="Q70" s="336" t="str">
        <f>[1]Master!AF8</f>
        <v>ARMENIA</v>
      </c>
    </row>
    <row r="71" spans="2:17" ht="15.75" thickBot="1" x14ac:dyDescent="0.3">
      <c r="B71" s="336" t="s">
        <v>780</v>
      </c>
      <c r="C71" s="332" t="s">
        <v>333</v>
      </c>
      <c r="D71" s="337">
        <v>0</v>
      </c>
      <c r="E71" s="337">
        <v>0</v>
      </c>
      <c r="F71" s="337">
        <v>0</v>
      </c>
      <c r="G71" s="337">
        <v>0</v>
      </c>
      <c r="H71" s="337">
        <v>0</v>
      </c>
      <c r="I71" s="337">
        <v>0</v>
      </c>
      <c r="J71" s="337">
        <v>0</v>
      </c>
      <c r="K71" s="337">
        <v>0</v>
      </c>
      <c r="L71" s="337">
        <v>0</v>
      </c>
      <c r="M71" s="337">
        <v>0</v>
      </c>
      <c r="N71" s="337">
        <v>0</v>
      </c>
      <c r="O71" s="337">
        <v>0</v>
      </c>
      <c r="P71" s="337">
        <v>0</v>
      </c>
      <c r="Q71" s="336" t="s">
        <v>780</v>
      </c>
    </row>
    <row r="72" spans="2:17" ht="15.75" thickBot="1" x14ac:dyDescent="0.3">
      <c r="B72" s="336" t="str">
        <f>[1]Master!AF9</f>
        <v>BELARUS</v>
      </c>
      <c r="C72" s="332" t="str">
        <f>[1]Master!AG9</f>
        <v>BO</v>
      </c>
      <c r="D72" s="337">
        <v>0</v>
      </c>
      <c r="E72" s="337">
        <v>0</v>
      </c>
      <c r="F72" s="337">
        <v>0</v>
      </c>
      <c r="G72" s="337">
        <v>0</v>
      </c>
      <c r="H72" s="337">
        <v>0</v>
      </c>
      <c r="I72" s="337">
        <v>0</v>
      </c>
      <c r="J72" s="337">
        <v>0</v>
      </c>
      <c r="K72" s="337">
        <v>0</v>
      </c>
      <c r="L72" s="337">
        <v>0</v>
      </c>
      <c r="M72" s="337">
        <v>0</v>
      </c>
      <c r="N72" s="337">
        <v>0</v>
      </c>
      <c r="O72" s="337">
        <v>0</v>
      </c>
      <c r="P72" s="337">
        <f>SUM(D72:O72)</f>
        <v>0</v>
      </c>
      <c r="Q72" s="336" t="str">
        <f>[1]Master!AF9</f>
        <v>BELARUS</v>
      </c>
    </row>
    <row r="73" spans="2:17" ht="15.75" thickBot="1" x14ac:dyDescent="0.3">
      <c r="B73" s="336" t="str">
        <f>[1]Master!AF10</f>
        <v>BURMA</v>
      </c>
      <c r="C73" s="332" t="str">
        <f>[1]Master!AG10</f>
        <v>BM</v>
      </c>
      <c r="D73" s="337">
        <v>0</v>
      </c>
      <c r="E73" s="337">
        <v>0</v>
      </c>
      <c r="F73" s="337">
        <v>3</v>
      </c>
      <c r="G73" s="337">
        <v>0</v>
      </c>
      <c r="H73" s="337">
        <v>0</v>
      </c>
      <c r="I73" s="337">
        <v>0</v>
      </c>
      <c r="J73" s="337">
        <v>4</v>
      </c>
      <c r="K73" s="337">
        <v>0</v>
      </c>
      <c r="L73" s="337">
        <v>0</v>
      </c>
      <c r="M73" s="337">
        <v>0</v>
      </c>
      <c r="N73" s="337">
        <v>0</v>
      </c>
      <c r="O73" s="337">
        <v>0</v>
      </c>
      <c r="P73" s="337">
        <f>SUM(D73:O73)</f>
        <v>7</v>
      </c>
      <c r="Q73" s="336" t="str">
        <f>[1]Master!AF10</f>
        <v>BURMA</v>
      </c>
    </row>
    <row r="74" spans="2:17" ht="15.75" thickBot="1" x14ac:dyDescent="0.3">
      <c r="B74" s="336" t="str">
        <f>[1]Master!AF11</f>
        <v>BHUTAN</v>
      </c>
      <c r="C74" s="332" t="str">
        <f>[1]Master!AG11</f>
        <v>BT</v>
      </c>
      <c r="D74" s="337">
        <v>9</v>
      </c>
      <c r="E74" s="337">
        <v>0</v>
      </c>
      <c r="F74" s="337">
        <v>2</v>
      </c>
      <c r="G74" s="337">
        <v>13</v>
      </c>
      <c r="H74" s="337">
        <v>0</v>
      </c>
      <c r="I74" s="337">
        <v>6</v>
      </c>
      <c r="J74" s="337">
        <v>0</v>
      </c>
      <c r="K74" s="337">
        <v>3</v>
      </c>
      <c r="L74" s="337">
        <v>0</v>
      </c>
      <c r="M74" s="337">
        <v>0</v>
      </c>
      <c r="N74" s="337">
        <v>3</v>
      </c>
      <c r="O74" s="337">
        <v>2</v>
      </c>
      <c r="P74" s="337">
        <f>SUM(D74:O74)</f>
        <v>38</v>
      </c>
      <c r="Q74" s="336" t="str">
        <f>[1]Master!AF11</f>
        <v>BHUTAN</v>
      </c>
    </row>
    <row r="75" spans="2:17" ht="15.75" thickBot="1" x14ac:dyDescent="0.3">
      <c r="B75" s="336" t="s">
        <v>779</v>
      </c>
      <c r="C75" s="332" t="s">
        <v>287</v>
      </c>
      <c r="D75" s="337">
        <v>0</v>
      </c>
      <c r="E75" s="337">
        <v>0</v>
      </c>
      <c r="F75" s="337">
        <v>0</v>
      </c>
      <c r="G75" s="337">
        <v>0</v>
      </c>
      <c r="H75" s="337">
        <v>0</v>
      </c>
      <c r="I75" s="337">
        <v>0</v>
      </c>
      <c r="J75" s="337">
        <v>0</v>
      </c>
      <c r="K75" s="337">
        <v>0</v>
      </c>
      <c r="L75" s="337">
        <v>0</v>
      </c>
      <c r="M75" s="337">
        <v>0</v>
      </c>
      <c r="N75" s="337">
        <v>0</v>
      </c>
      <c r="O75" s="337">
        <v>0</v>
      </c>
      <c r="P75" s="337">
        <v>0</v>
      </c>
      <c r="Q75" s="336" t="s">
        <v>779</v>
      </c>
    </row>
    <row r="76" spans="2:17" ht="15.75" thickBot="1" x14ac:dyDescent="0.3">
      <c r="B76" s="336" t="str">
        <f>[1]Master!AF12</f>
        <v>BURUNDI</v>
      </c>
      <c r="C76" s="332" t="str">
        <f>[1]Master!AG12</f>
        <v>BY</v>
      </c>
      <c r="D76" s="337">
        <v>0</v>
      </c>
      <c r="E76" s="337">
        <v>0</v>
      </c>
      <c r="F76" s="337">
        <v>0</v>
      </c>
      <c r="G76" s="337">
        <v>0</v>
      </c>
      <c r="H76" s="337">
        <v>0</v>
      </c>
      <c r="I76" s="337">
        <v>0</v>
      </c>
      <c r="J76" s="337">
        <v>0</v>
      </c>
      <c r="K76" s="337">
        <v>0</v>
      </c>
      <c r="L76" s="337">
        <v>0</v>
      </c>
      <c r="M76" s="337">
        <v>0</v>
      </c>
      <c r="N76" s="337">
        <v>0</v>
      </c>
      <c r="O76" s="337">
        <v>0</v>
      </c>
      <c r="P76" s="337">
        <f>SUM(D76:O76)</f>
        <v>0</v>
      </c>
      <c r="Q76" s="336" t="str">
        <f>[1]Master!AF12</f>
        <v>BURUNDI</v>
      </c>
    </row>
    <row r="77" spans="2:17" ht="15.75" thickBot="1" x14ac:dyDescent="0.3">
      <c r="B77" s="336" t="str">
        <f>[1]Master!AF13</f>
        <v>CAMEROUN</v>
      </c>
      <c r="C77" s="332" t="str">
        <f>[1]Master!AG13</f>
        <v>CM</v>
      </c>
      <c r="D77" s="337">
        <v>0</v>
      </c>
      <c r="E77" s="337">
        <v>0</v>
      </c>
      <c r="F77" s="337">
        <v>0</v>
      </c>
      <c r="G77" s="337">
        <v>0</v>
      </c>
      <c r="H77" s="337">
        <v>0</v>
      </c>
      <c r="I77" s="337">
        <v>0</v>
      </c>
      <c r="J77" s="337">
        <v>0</v>
      </c>
      <c r="K77" s="337">
        <v>0</v>
      </c>
      <c r="L77" s="337">
        <v>0</v>
      </c>
      <c r="M77" s="337">
        <v>0</v>
      </c>
      <c r="N77" s="337">
        <v>0</v>
      </c>
      <c r="O77" s="337">
        <v>0</v>
      </c>
      <c r="P77" s="337">
        <f>SUM(D77:O77)</f>
        <v>0</v>
      </c>
      <c r="Q77" s="336" t="str">
        <f>[1]Master!AF13</f>
        <v>CAMEROUN</v>
      </c>
    </row>
    <row r="78" spans="2:17" ht="15.75" thickBot="1" x14ac:dyDescent="0.3">
      <c r="B78" s="336" t="str">
        <f>[1]Master!AF14</f>
        <v>CENTRAL AFR REP</v>
      </c>
      <c r="C78" s="332" t="str">
        <f>[1]Master!AG14</f>
        <v>CT</v>
      </c>
      <c r="D78" s="337">
        <v>0</v>
      </c>
      <c r="E78" s="337">
        <v>0</v>
      </c>
      <c r="F78" s="337">
        <v>0</v>
      </c>
      <c r="G78" s="337">
        <v>0</v>
      </c>
      <c r="H78" s="337">
        <v>0</v>
      </c>
      <c r="I78" s="337">
        <v>0</v>
      </c>
      <c r="J78" s="337">
        <v>0</v>
      </c>
      <c r="K78" s="337">
        <v>0</v>
      </c>
      <c r="L78" s="337">
        <v>0</v>
      </c>
      <c r="M78" s="337">
        <v>0</v>
      </c>
      <c r="N78" s="337">
        <v>0</v>
      </c>
      <c r="O78" s="337">
        <v>0</v>
      </c>
      <c r="P78" s="337">
        <f>SUM(D78:O78)</f>
        <v>0</v>
      </c>
      <c r="Q78" s="336" t="str">
        <f>[1]Master!AF14</f>
        <v>CENTRAL AFR REP</v>
      </c>
    </row>
    <row r="79" spans="2:17" ht="15.75" thickBot="1" x14ac:dyDescent="0.3">
      <c r="B79" s="336" t="str">
        <f>[1]Master!AF15</f>
        <v>CHINA</v>
      </c>
      <c r="C79" s="332" t="str">
        <f>[1]Master!AG15</f>
        <v>CH</v>
      </c>
      <c r="D79" s="337">
        <v>0</v>
      </c>
      <c r="E79" s="337">
        <v>0</v>
      </c>
      <c r="F79" s="337">
        <v>0</v>
      </c>
      <c r="G79" s="337">
        <v>0</v>
      </c>
      <c r="H79" s="337">
        <v>0</v>
      </c>
      <c r="I79" s="337">
        <v>0</v>
      </c>
      <c r="J79" s="337">
        <v>0</v>
      </c>
      <c r="K79" s="337">
        <v>0</v>
      </c>
      <c r="L79" s="337">
        <v>0</v>
      </c>
      <c r="M79" s="337">
        <v>0</v>
      </c>
      <c r="N79" s="337">
        <v>0</v>
      </c>
      <c r="O79" s="337">
        <v>0</v>
      </c>
      <c r="P79" s="337">
        <f>SUM(D79:O79)</f>
        <v>0</v>
      </c>
      <c r="Q79" s="336" t="str">
        <f>[1]Master!AF15</f>
        <v>CHINA</v>
      </c>
    </row>
    <row r="80" spans="2:17" ht="15.75" thickBot="1" x14ac:dyDescent="0.3">
      <c r="B80" s="336" t="str">
        <f>[1]Master!AF16</f>
        <v>DEM REP OF CONGO</v>
      </c>
      <c r="C80" s="332" t="str">
        <f>[1]Master!AG16</f>
        <v>CG</v>
      </c>
      <c r="D80" s="337">
        <v>3</v>
      </c>
      <c r="E80" s="337">
        <v>5</v>
      </c>
      <c r="F80" s="337">
        <v>0</v>
      </c>
      <c r="G80" s="337">
        <v>0</v>
      </c>
      <c r="H80" s="337">
        <v>2</v>
      </c>
      <c r="I80" s="337">
        <v>0</v>
      </c>
      <c r="J80" s="337">
        <v>0</v>
      </c>
      <c r="K80" s="337">
        <v>0</v>
      </c>
      <c r="L80" s="337">
        <v>11</v>
      </c>
      <c r="M80" s="337">
        <v>0</v>
      </c>
      <c r="N80" s="337">
        <v>0</v>
      </c>
      <c r="O80" s="337">
        <v>7</v>
      </c>
      <c r="P80" s="337">
        <f>SUM(D80:O80)</f>
        <v>28</v>
      </c>
      <c r="Q80" s="336" t="str">
        <f>[1]Master!AF16</f>
        <v>DEM REP OF CONGO</v>
      </c>
    </row>
    <row r="81" spans="2:17" ht="15.75" thickBot="1" x14ac:dyDescent="0.3">
      <c r="B81" s="336" t="str">
        <f>[1]Master!AF17</f>
        <v>COLUMBIA</v>
      </c>
      <c r="C81" s="332" t="str">
        <f>[1]Master!AG17</f>
        <v>CO</v>
      </c>
      <c r="D81" s="337">
        <v>5</v>
      </c>
      <c r="E81" s="337">
        <v>0</v>
      </c>
      <c r="F81" s="337">
        <v>0</v>
      </c>
      <c r="G81" s="337">
        <v>3</v>
      </c>
      <c r="H81" s="337">
        <v>0</v>
      </c>
      <c r="I81" s="337">
        <v>0</v>
      </c>
      <c r="J81" s="337">
        <v>0</v>
      </c>
      <c r="K81" s="337">
        <v>2</v>
      </c>
      <c r="L81" s="337">
        <v>0</v>
      </c>
      <c r="M81" s="337">
        <v>0</v>
      </c>
      <c r="N81" s="337">
        <v>0</v>
      </c>
      <c r="O81" s="337">
        <v>0</v>
      </c>
      <c r="P81" s="337">
        <f>SUM(D81:O81)</f>
        <v>10</v>
      </c>
      <c r="Q81" s="336" t="str">
        <f>[1]Master!AF17</f>
        <v>COLUMBIA</v>
      </c>
    </row>
    <row r="82" spans="2:17" ht="15.75" thickBot="1" x14ac:dyDescent="0.3">
      <c r="B82" s="336" t="str">
        <f>[1]Master!AF18</f>
        <v>CONGO</v>
      </c>
      <c r="C82" s="332" t="str">
        <f>[1]Master!AG18</f>
        <v>CF</v>
      </c>
      <c r="D82" s="337">
        <v>0</v>
      </c>
      <c r="E82" s="337">
        <v>0</v>
      </c>
      <c r="F82" s="337">
        <v>0</v>
      </c>
      <c r="G82" s="337">
        <v>0</v>
      </c>
      <c r="H82" s="337">
        <v>0</v>
      </c>
      <c r="I82" s="337">
        <v>0</v>
      </c>
      <c r="J82" s="337">
        <v>0</v>
      </c>
      <c r="K82" s="337">
        <v>0</v>
      </c>
      <c r="L82" s="337">
        <v>0</v>
      </c>
      <c r="M82" s="337">
        <v>0</v>
      </c>
      <c r="N82" s="337">
        <v>0</v>
      </c>
      <c r="O82" s="337">
        <v>0</v>
      </c>
      <c r="P82" s="337">
        <f>SUM(D82:O82)</f>
        <v>0</v>
      </c>
      <c r="Q82" s="336" t="str">
        <f>[1]Master!AF18</f>
        <v>CONGO</v>
      </c>
    </row>
    <row r="83" spans="2:17" ht="15.75" thickBot="1" x14ac:dyDescent="0.3">
      <c r="B83" s="336" t="str">
        <f>[1]Master!AF19</f>
        <v>CUBA</v>
      </c>
      <c r="C83" s="332" t="str">
        <f>[1]Master!AG19</f>
        <v>CU</v>
      </c>
      <c r="D83" s="337">
        <v>0</v>
      </c>
      <c r="E83" s="337">
        <v>0</v>
      </c>
      <c r="F83" s="337">
        <v>0</v>
      </c>
      <c r="G83" s="337">
        <v>0</v>
      </c>
      <c r="H83" s="337">
        <v>0</v>
      </c>
      <c r="I83" s="337">
        <v>0</v>
      </c>
      <c r="J83" s="337">
        <v>0</v>
      </c>
      <c r="K83" s="337">
        <v>0</v>
      </c>
      <c r="L83" s="337">
        <v>0</v>
      </c>
      <c r="M83" s="337">
        <v>0</v>
      </c>
      <c r="N83" s="337">
        <v>0</v>
      </c>
      <c r="O83" s="337">
        <v>0</v>
      </c>
      <c r="P83" s="337">
        <f>SUM(D83:O83)</f>
        <v>0</v>
      </c>
      <c r="Q83" s="336" t="str">
        <f>[1]Master!AF19</f>
        <v>CUBA</v>
      </c>
    </row>
    <row r="84" spans="2:17" ht="15.75" thickBot="1" x14ac:dyDescent="0.3">
      <c r="B84" s="336" t="str">
        <f>[1]Master!AF20</f>
        <v>CUBAN ENTRANT</v>
      </c>
      <c r="C84" s="332" t="str">
        <f>[1]Master!AG20</f>
        <v>CUE</v>
      </c>
      <c r="D84" s="337">
        <v>0</v>
      </c>
      <c r="E84" s="337">
        <v>0</v>
      </c>
      <c r="F84" s="337">
        <v>0</v>
      </c>
      <c r="G84" s="337">
        <v>0</v>
      </c>
      <c r="H84" s="337">
        <v>0</v>
      </c>
      <c r="I84" s="337">
        <v>0</v>
      </c>
      <c r="J84" s="337">
        <v>0</v>
      </c>
      <c r="K84" s="337">
        <v>0</v>
      </c>
      <c r="L84" s="337">
        <v>0</v>
      </c>
      <c r="M84" s="337">
        <v>0</v>
      </c>
      <c r="N84" s="337">
        <v>0</v>
      </c>
      <c r="O84" s="337">
        <v>0</v>
      </c>
      <c r="P84" s="337">
        <f>SUM(D84:O84)</f>
        <v>0</v>
      </c>
      <c r="Q84" s="336" t="str">
        <f>[1]Master!AF20</f>
        <v>CUBAN ENTRANT</v>
      </c>
    </row>
    <row r="85" spans="2:17" ht="15.75" thickBot="1" x14ac:dyDescent="0.3">
      <c r="B85" s="336" t="str">
        <f>[1]Master!AF21</f>
        <v>ECUADOR</v>
      </c>
      <c r="C85" s="332" t="str">
        <f>[1]Master!AG21</f>
        <v>EC</v>
      </c>
      <c r="D85" s="337">
        <v>0</v>
      </c>
      <c r="E85" s="337">
        <v>0</v>
      </c>
      <c r="F85" s="337">
        <v>0</v>
      </c>
      <c r="G85" s="337">
        <v>0</v>
      </c>
      <c r="H85" s="337">
        <v>0</v>
      </c>
      <c r="I85" s="337">
        <v>0</v>
      </c>
      <c r="J85" s="337">
        <v>0</v>
      </c>
      <c r="K85" s="337">
        <v>0</v>
      </c>
      <c r="L85" s="337">
        <v>0</v>
      </c>
      <c r="M85" s="337">
        <v>0</v>
      </c>
      <c r="N85" s="337">
        <v>0</v>
      </c>
      <c r="O85" s="337">
        <v>0</v>
      </c>
      <c r="P85" s="337">
        <f>SUM(D85:O85)</f>
        <v>0</v>
      </c>
      <c r="Q85" s="336" t="str">
        <f>[1]Master!AF21</f>
        <v>ECUADOR</v>
      </c>
    </row>
    <row r="86" spans="2:17" ht="15.75" thickBot="1" x14ac:dyDescent="0.3">
      <c r="B86" s="336" t="str">
        <f>[1]Master!AF22</f>
        <v>EGYPT</v>
      </c>
      <c r="C86" s="332" t="str">
        <f>[1]Master!AG22</f>
        <v>EG</v>
      </c>
      <c r="D86" s="337">
        <v>0</v>
      </c>
      <c r="E86" s="337">
        <v>0</v>
      </c>
      <c r="F86" s="337">
        <v>0</v>
      </c>
      <c r="G86" s="337">
        <v>0</v>
      </c>
      <c r="H86" s="337">
        <v>0</v>
      </c>
      <c r="I86" s="337">
        <v>0</v>
      </c>
      <c r="J86" s="337">
        <v>0</v>
      </c>
      <c r="K86" s="337">
        <v>0</v>
      </c>
      <c r="L86" s="337">
        <v>0</v>
      </c>
      <c r="M86" s="337">
        <v>0</v>
      </c>
      <c r="N86" s="337">
        <v>0</v>
      </c>
      <c r="O86" s="337">
        <v>0</v>
      </c>
      <c r="P86" s="337">
        <f>SUM(D86:O86)</f>
        <v>0</v>
      </c>
      <c r="Q86" s="336" t="str">
        <f>[1]Master!AF22</f>
        <v>EGYPT</v>
      </c>
    </row>
    <row r="87" spans="2:17" ht="15.75" thickBot="1" x14ac:dyDescent="0.3">
      <c r="B87" s="336" t="str">
        <f>[1]Master!AF23</f>
        <v>ERITREA</v>
      </c>
      <c r="C87" s="332" t="str">
        <f>[1]Master!AG23</f>
        <v>ER</v>
      </c>
      <c r="D87" s="337">
        <v>0</v>
      </c>
      <c r="E87" s="337">
        <v>0</v>
      </c>
      <c r="F87" s="337">
        <v>0</v>
      </c>
      <c r="G87" s="337">
        <v>0</v>
      </c>
      <c r="H87" s="337">
        <v>0</v>
      </c>
      <c r="I87" s="337">
        <v>0</v>
      </c>
      <c r="J87" s="337">
        <v>0</v>
      </c>
      <c r="K87" s="337">
        <v>0</v>
      </c>
      <c r="L87" s="337">
        <v>0</v>
      </c>
      <c r="M87" s="337">
        <v>0</v>
      </c>
      <c r="N87" s="337">
        <v>0</v>
      </c>
      <c r="O87" s="337">
        <v>0</v>
      </c>
      <c r="P87" s="337">
        <f>SUM(D87:O87)</f>
        <v>0</v>
      </c>
      <c r="Q87" s="336" t="str">
        <f>[1]Master!AF23</f>
        <v>ERITREA</v>
      </c>
    </row>
    <row r="88" spans="2:17" ht="15.75" thickBot="1" x14ac:dyDescent="0.3">
      <c r="B88" s="336" t="str">
        <f>[1]Master!AF24</f>
        <v>ETHIOPIA</v>
      </c>
      <c r="C88" s="332" t="str">
        <f>[1]Master!AG24</f>
        <v>ET</v>
      </c>
      <c r="D88" s="337">
        <v>0</v>
      </c>
      <c r="E88" s="337">
        <v>0</v>
      </c>
      <c r="F88" s="337">
        <v>0</v>
      </c>
      <c r="G88" s="337">
        <v>0</v>
      </c>
      <c r="H88" s="337">
        <v>0</v>
      </c>
      <c r="I88" s="337">
        <v>0</v>
      </c>
      <c r="J88" s="337">
        <v>0</v>
      </c>
      <c r="K88" s="337">
        <v>0</v>
      </c>
      <c r="L88" s="337">
        <v>0</v>
      </c>
      <c r="M88" s="337">
        <v>0</v>
      </c>
      <c r="N88" s="337">
        <v>0</v>
      </c>
      <c r="O88" s="337">
        <v>0</v>
      </c>
      <c r="P88" s="337">
        <f>SUM(D88:O88)</f>
        <v>0</v>
      </c>
      <c r="Q88" s="336" t="str">
        <f>[1]Master!AF24</f>
        <v>ETHIOPIA</v>
      </c>
    </row>
    <row r="89" spans="2:17" ht="15.75" thickBot="1" x14ac:dyDescent="0.3">
      <c r="B89" s="336" t="str">
        <f>[1]Master!AF25</f>
        <v>FRANCE</v>
      </c>
      <c r="C89" s="332" t="str">
        <f>[1]Master!AG25</f>
        <v>FR</v>
      </c>
      <c r="D89" s="337">
        <v>0</v>
      </c>
      <c r="E89" s="337">
        <v>0</v>
      </c>
      <c r="F89" s="337">
        <v>0</v>
      </c>
      <c r="G89" s="337">
        <v>0</v>
      </c>
      <c r="H89" s="337">
        <v>0</v>
      </c>
      <c r="I89" s="337">
        <v>0</v>
      </c>
      <c r="J89" s="337">
        <v>0</v>
      </c>
      <c r="K89" s="337">
        <v>0</v>
      </c>
      <c r="L89" s="337">
        <v>0</v>
      </c>
      <c r="M89" s="337">
        <v>0</v>
      </c>
      <c r="N89" s="337">
        <v>0</v>
      </c>
      <c r="O89" s="337">
        <v>0</v>
      </c>
      <c r="P89" s="337">
        <f>SUM(D89:O89)</f>
        <v>0</v>
      </c>
      <c r="Q89" s="336" t="str">
        <f>[1]Master!AF25</f>
        <v>FRANCE</v>
      </c>
    </row>
    <row r="90" spans="2:17" ht="15.75" thickBot="1" x14ac:dyDescent="0.3">
      <c r="B90" s="336" t="str">
        <f>[1]Master!AF26</f>
        <v>GUINEA</v>
      </c>
      <c r="C90" s="332" t="str">
        <f>[1]Master!AG26</f>
        <v>GV</v>
      </c>
      <c r="D90" s="337">
        <v>0</v>
      </c>
      <c r="E90" s="337">
        <v>0</v>
      </c>
      <c r="F90" s="337">
        <v>0</v>
      </c>
      <c r="G90" s="337">
        <v>0</v>
      </c>
      <c r="H90" s="337">
        <v>0</v>
      </c>
      <c r="I90" s="337">
        <v>0</v>
      </c>
      <c r="J90" s="337">
        <v>0</v>
      </c>
      <c r="K90" s="337">
        <v>0</v>
      </c>
      <c r="L90" s="337">
        <v>0</v>
      </c>
      <c r="M90" s="337">
        <v>0</v>
      </c>
      <c r="N90" s="337">
        <v>0</v>
      </c>
      <c r="O90" s="337">
        <v>0</v>
      </c>
      <c r="P90" s="337">
        <f>SUM(D90:O90)</f>
        <v>0</v>
      </c>
      <c r="Q90" s="336" t="str">
        <f>[1]Master!AF26</f>
        <v>GUINEA</v>
      </c>
    </row>
    <row r="91" spans="2:17" ht="15.75" thickBot="1" x14ac:dyDescent="0.3">
      <c r="B91" s="336" t="str">
        <f>[1]Master!AF27</f>
        <v>HAITI</v>
      </c>
      <c r="C91" s="332" t="str">
        <f>[1]Master!AG27</f>
        <v>HA</v>
      </c>
      <c r="D91" s="337">
        <v>0</v>
      </c>
      <c r="E91" s="337">
        <v>0</v>
      </c>
      <c r="F91" s="337">
        <v>0</v>
      </c>
      <c r="G91" s="337">
        <v>0</v>
      </c>
      <c r="H91" s="337">
        <v>0</v>
      </c>
      <c r="I91" s="337">
        <v>0</v>
      </c>
      <c r="J91" s="337">
        <v>0</v>
      </c>
      <c r="K91" s="337">
        <v>0</v>
      </c>
      <c r="L91" s="337">
        <v>0</v>
      </c>
      <c r="M91" s="337">
        <v>0</v>
      </c>
      <c r="N91" s="337">
        <v>0</v>
      </c>
      <c r="O91" s="337">
        <v>0</v>
      </c>
      <c r="P91" s="337">
        <f>SUM(D91:O91)</f>
        <v>0</v>
      </c>
      <c r="Q91" s="336" t="str">
        <f>[1]Master!AF27</f>
        <v>HAITI</v>
      </c>
    </row>
    <row r="92" spans="2:17" ht="15.75" thickBot="1" x14ac:dyDescent="0.3">
      <c r="B92" s="336" t="str">
        <f>[1]Master!AF28</f>
        <v>INDIA</v>
      </c>
      <c r="C92" s="332" t="str">
        <f>[1]Master!AG28</f>
        <v>IN</v>
      </c>
      <c r="D92" s="337">
        <v>1</v>
      </c>
      <c r="E92" s="337">
        <v>0</v>
      </c>
      <c r="F92" s="337">
        <v>0</v>
      </c>
      <c r="G92" s="337">
        <v>0</v>
      </c>
      <c r="H92" s="337">
        <v>0</v>
      </c>
      <c r="I92" s="337">
        <v>0</v>
      </c>
      <c r="J92" s="337">
        <v>0</v>
      </c>
      <c r="K92" s="337">
        <v>0</v>
      </c>
      <c r="L92" s="337">
        <v>0</v>
      </c>
      <c r="M92" s="337">
        <v>0</v>
      </c>
      <c r="N92" s="337">
        <v>1</v>
      </c>
      <c r="O92" s="337">
        <v>0</v>
      </c>
      <c r="P92" s="337">
        <f>SUM(D92:O92)</f>
        <v>2</v>
      </c>
      <c r="Q92" s="336" t="str">
        <f>[1]Master!AF28</f>
        <v>INDIA</v>
      </c>
    </row>
    <row r="93" spans="2:17" ht="15.75" thickBot="1" x14ac:dyDescent="0.3">
      <c r="B93" s="336" t="str">
        <f>[1]Master!AF29</f>
        <v>INDONESIA</v>
      </c>
      <c r="C93" s="332" t="str">
        <f>[1]Master!AG29</f>
        <v>ID</v>
      </c>
      <c r="D93" s="337">
        <v>0</v>
      </c>
      <c r="E93" s="337">
        <v>0</v>
      </c>
      <c r="F93" s="337">
        <v>0</v>
      </c>
      <c r="G93" s="337">
        <v>0</v>
      </c>
      <c r="H93" s="337">
        <v>0</v>
      </c>
      <c r="I93" s="337">
        <v>0</v>
      </c>
      <c r="J93" s="337">
        <v>0</v>
      </c>
      <c r="K93" s="337">
        <v>0</v>
      </c>
      <c r="L93" s="337">
        <v>0</v>
      </c>
      <c r="M93" s="337">
        <v>0</v>
      </c>
      <c r="N93" s="337">
        <v>0</v>
      </c>
      <c r="O93" s="337">
        <v>0</v>
      </c>
      <c r="P93" s="337">
        <f>SUM(D93:O93)</f>
        <v>0</v>
      </c>
      <c r="Q93" s="336" t="str">
        <f>[1]Master!AF29</f>
        <v>INDONESIA</v>
      </c>
    </row>
    <row r="94" spans="2:17" ht="15.75" thickBot="1" x14ac:dyDescent="0.3">
      <c r="B94" s="336" t="str">
        <f>[1]Master!AF30</f>
        <v>IRAN</v>
      </c>
      <c r="C94" s="332" t="str">
        <f>[1]Master!AG30</f>
        <v>IR</v>
      </c>
      <c r="D94" s="337">
        <v>0</v>
      </c>
      <c r="E94" s="337">
        <v>0</v>
      </c>
      <c r="F94" s="337">
        <v>0</v>
      </c>
      <c r="G94" s="337">
        <v>1</v>
      </c>
      <c r="H94" s="337">
        <v>0</v>
      </c>
      <c r="I94" s="337">
        <v>0</v>
      </c>
      <c r="J94" s="337">
        <v>0</v>
      </c>
      <c r="K94" s="337">
        <v>0</v>
      </c>
      <c r="L94" s="337">
        <v>0</v>
      </c>
      <c r="M94" s="337">
        <v>0</v>
      </c>
      <c r="N94" s="337">
        <v>0</v>
      </c>
      <c r="O94" s="337">
        <v>0</v>
      </c>
      <c r="P94" s="337">
        <f>SUM(D94:O94)</f>
        <v>1</v>
      </c>
      <c r="Q94" s="336" t="str">
        <f>[1]Master!AF30</f>
        <v>IRAN</v>
      </c>
    </row>
    <row r="95" spans="2:17" ht="15.75" thickBot="1" x14ac:dyDescent="0.3">
      <c r="B95" s="336" t="str">
        <f>[1]Master!AF31</f>
        <v>IRAQ</v>
      </c>
      <c r="C95" s="332" t="str">
        <f>[1]Master!AG31</f>
        <v>IZ</v>
      </c>
      <c r="D95" s="337">
        <v>0</v>
      </c>
      <c r="E95" s="337">
        <v>0</v>
      </c>
      <c r="F95" s="337">
        <v>1</v>
      </c>
      <c r="G95" s="337">
        <v>4</v>
      </c>
      <c r="H95" s="337">
        <v>0</v>
      </c>
      <c r="I95" s="337">
        <v>1</v>
      </c>
      <c r="J95" s="337">
        <v>1</v>
      </c>
      <c r="K95" s="337">
        <v>6</v>
      </c>
      <c r="L95" s="337">
        <v>0</v>
      </c>
      <c r="M95" s="337">
        <v>0</v>
      </c>
      <c r="N95" s="337">
        <v>0</v>
      </c>
      <c r="O95" s="337">
        <v>0</v>
      </c>
      <c r="P95" s="337">
        <f>SUM(D95:O95)</f>
        <v>13</v>
      </c>
      <c r="Q95" s="336" t="str">
        <f>[1]Master!AF31</f>
        <v>IRAQ</v>
      </c>
    </row>
    <row r="96" spans="2:17" ht="15.75" thickBot="1" x14ac:dyDescent="0.3">
      <c r="B96" s="336" t="str">
        <f>[1]Master!AF32</f>
        <v>IVORY COAST</v>
      </c>
      <c r="C96" s="332" t="str">
        <f>[1]Master!AG32</f>
        <v>IV</v>
      </c>
      <c r="D96" s="337">
        <v>0</v>
      </c>
      <c r="E96" s="337">
        <v>0</v>
      </c>
      <c r="F96" s="337">
        <v>0</v>
      </c>
      <c r="G96" s="337">
        <v>0</v>
      </c>
      <c r="H96" s="337">
        <v>0</v>
      </c>
      <c r="I96" s="337">
        <v>0</v>
      </c>
      <c r="J96" s="337">
        <v>0</v>
      </c>
      <c r="K96" s="337">
        <v>0</v>
      </c>
      <c r="L96" s="337">
        <v>0</v>
      </c>
      <c r="M96" s="337">
        <v>0</v>
      </c>
      <c r="N96" s="337">
        <v>0</v>
      </c>
      <c r="O96" s="337">
        <v>0</v>
      </c>
      <c r="P96" s="337">
        <f>SUM(D96:O96)</f>
        <v>0</v>
      </c>
      <c r="Q96" s="336" t="str">
        <f>[1]Master!AF32</f>
        <v>IVORY COAST</v>
      </c>
    </row>
    <row r="97" spans="2:17" ht="15.75" thickBot="1" x14ac:dyDescent="0.3">
      <c r="B97" s="336" t="str">
        <f>[1]Master!AF33</f>
        <v>JORDAN</v>
      </c>
      <c r="C97" s="332" t="str">
        <f>[1]Master!AG33</f>
        <v>JO</v>
      </c>
      <c r="D97" s="337">
        <v>0</v>
      </c>
      <c r="E97" s="337">
        <v>0</v>
      </c>
      <c r="F97" s="337">
        <v>0</v>
      </c>
      <c r="G97" s="337">
        <v>0</v>
      </c>
      <c r="H97" s="337">
        <v>0</v>
      </c>
      <c r="I97" s="337">
        <v>0</v>
      </c>
      <c r="J97" s="337">
        <v>0</v>
      </c>
      <c r="K97" s="337">
        <v>0</v>
      </c>
      <c r="L97" s="337">
        <v>0</v>
      </c>
      <c r="M97" s="337">
        <v>0</v>
      </c>
      <c r="N97" s="337">
        <v>0</v>
      </c>
      <c r="O97" s="337">
        <v>0</v>
      </c>
      <c r="P97" s="337">
        <f>SUM(D97:O97)</f>
        <v>0</v>
      </c>
      <c r="Q97" s="336" t="str">
        <f>[1]Master!AF33</f>
        <v>JORDAN</v>
      </c>
    </row>
    <row r="98" spans="2:17" ht="15.75" thickBot="1" x14ac:dyDescent="0.3">
      <c r="B98" s="336" t="str">
        <f>[1]Master!AF34</f>
        <v>KAZAKHSTAN</v>
      </c>
      <c r="C98" s="332" t="str">
        <f>[1]Master!AG34</f>
        <v>KZ</v>
      </c>
      <c r="D98" s="337">
        <v>0</v>
      </c>
      <c r="E98" s="337">
        <v>0</v>
      </c>
      <c r="F98" s="337">
        <v>0</v>
      </c>
      <c r="G98" s="337">
        <v>0</v>
      </c>
      <c r="H98" s="337">
        <v>0</v>
      </c>
      <c r="I98" s="337">
        <v>0</v>
      </c>
      <c r="J98" s="337">
        <v>0</v>
      </c>
      <c r="K98" s="337">
        <v>0</v>
      </c>
      <c r="L98" s="337">
        <v>0</v>
      </c>
      <c r="M98" s="337">
        <v>0</v>
      </c>
      <c r="N98" s="337">
        <v>0</v>
      </c>
      <c r="O98" s="337">
        <v>0</v>
      </c>
      <c r="P98" s="337">
        <f>SUM(D98:O98)</f>
        <v>0</v>
      </c>
      <c r="Q98" s="336" t="str">
        <f>[1]Master!AF34</f>
        <v>KAZAKHSTAN</v>
      </c>
    </row>
    <row r="99" spans="2:17" ht="15.75" thickBot="1" x14ac:dyDescent="0.3">
      <c r="B99" s="336" t="str">
        <f>[1]Master!AF35</f>
        <v>KENYA</v>
      </c>
      <c r="C99" s="332" t="str">
        <f>[1]Master!AG35</f>
        <v>KE</v>
      </c>
      <c r="D99" s="337">
        <v>0</v>
      </c>
      <c r="E99" s="337">
        <v>0</v>
      </c>
      <c r="F99" s="337">
        <v>0</v>
      </c>
      <c r="G99" s="337">
        <v>0</v>
      </c>
      <c r="H99" s="337">
        <v>0</v>
      </c>
      <c r="I99" s="337">
        <v>0</v>
      </c>
      <c r="J99" s="337">
        <v>0</v>
      </c>
      <c r="K99" s="337">
        <v>0</v>
      </c>
      <c r="L99" s="337">
        <v>0</v>
      </c>
      <c r="M99" s="337">
        <v>0</v>
      </c>
      <c r="N99" s="337">
        <v>0</v>
      </c>
      <c r="O99" s="337">
        <v>0</v>
      </c>
      <c r="P99" s="337">
        <f>SUM(D99:O99)</f>
        <v>0</v>
      </c>
      <c r="Q99" s="336" t="str">
        <f>[1]Master!AF35</f>
        <v>KENYA</v>
      </c>
    </row>
    <row r="100" spans="2:17" ht="15.75" thickBot="1" x14ac:dyDescent="0.3">
      <c r="B100" s="336" t="str">
        <f>[1]Master!AF36</f>
        <v>LEBANON</v>
      </c>
      <c r="C100" s="332" t="str">
        <f>[1]Master!AG36</f>
        <v>LE</v>
      </c>
      <c r="D100" s="337">
        <v>0</v>
      </c>
      <c r="E100" s="337">
        <v>0</v>
      </c>
      <c r="F100" s="337">
        <v>0</v>
      </c>
      <c r="G100" s="337">
        <v>0</v>
      </c>
      <c r="H100" s="337">
        <v>0</v>
      </c>
      <c r="I100" s="337">
        <v>0</v>
      </c>
      <c r="J100" s="337">
        <v>0</v>
      </c>
      <c r="K100" s="337">
        <v>0</v>
      </c>
      <c r="L100" s="337">
        <v>0</v>
      </c>
      <c r="M100" s="337">
        <v>0</v>
      </c>
      <c r="N100" s="337">
        <v>0</v>
      </c>
      <c r="O100" s="337">
        <v>0</v>
      </c>
      <c r="P100" s="337">
        <f>SUM(D100:O100)</f>
        <v>0</v>
      </c>
      <c r="Q100" s="336" t="str">
        <f>[1]Master!AF36</f>
        <v>LEBANON</v>
      </c>
    </row>
    <row r="101" spans="2:17" ht="15.75" thickBot="1" x14ac:dyDescent="0.3">
      <c r="B101" s="336" t="str">
        <f>[1]Master!AF37</f>
        <v>LIBERIA</v>
      </c>
      <c r="C101" s="332" t="str">
        <f>[1]Master!AG37</f>
        <v>LI</v>
      </c>
      <c r="D101" s="337">
        <v>0</v>
      </c>
      <c r="E101" s="337">
        <v>0</v>
      </c>
      <c r="F101" s="337">
        <v>0</v>
      </c>
      <c r="G101" s="337">
        <v>0</v>
      </c>
      <c r="H101" s="337">
        <v>0</v>
      </c>
      <c r="I101" s="337">
        <v>0</v>
      </c>
      <c r="J101" s="337">
        <v>0</v>
      </c>
      <c r="K101" s="337">
        <v>0</v>
      </c>
      <c r="L101" s="337">
        <v>0</v>
      </c>
      <c r="M101" s="337">
        <v>0</v>
      </c>
      <c r="N101" s="337">
        <v>0</v>
      </c>
      <c r="O101" s="337">
        <v>0</v>
      </c>
      <c r="P101" s="337">
        <f>SUM(D101:O101)</f>
        <v>0</v>
      </c>
      <c r="Q101" s="336" t="str">
        <f>[1]Master!AF37</f>
        <v>LIBERIA</v>
      </c>
    </row>
    <row r="102" spans="2:17" ht="15.75" thickBot="1" x14ac:dyDescent="0.3">
      <c r="B102" s="336" t="str">
        <f>[1]Master!AF38</f>
        <v>LIBYA</v>
      </c>
      <c r="C102" s="332" t="str">
        <f>[1]Master!AG38</f>
        <v>LY</v>
      </c>
      <c r="D102" s="337">
        <v>0</v>
      </c>
      <c r="E102" s="337">
        <v>0</v>
      </c>
      <c r="F102" s="337">
        <v>0</v>
      </c>
      <c r="G102" s="337">
        <v>0</v>
      </c>
      <c r="H102" s="337">
        <v>0</v>
      </c>
      <c r="I102" s="337">
        <v>0</v>
      </c>
      <c r="J102" s="337">
        <v>0</v>
      </c>
      <c r="K102" s="337">
        <v>0</v>
      </c>
      <c r="L102" s="337">
        <v>0</v>
      </c>
      <c r="M102" s="337">
        <v>0</v>
      </c>
      <c r="N102" s="337">
        <v>0</v>
      </c>
      <c r="O102" s="337">
        <v>0</v>
      </c>
      <c r="P102" s="337">
        <f>SUM(D102:O102)</f>
        <v>0</v>
      </c>
      <c r="Q102" s="336" t="str">
        <f>[1]Master!AF38</f>
        <v>LIBYA</v>
      </c>
    </row>
    <row r="103" spans="2:17" ht="15.75" thickBot="1" x14ac:dyDescent="0.3">
      <c r="B103" s="336" t="str">
        <f>[1]Master!AF39</f>
        <v>MOLDOVA</v>
      </c>
      <c r="C103" s="332" t="str">
        <f>[1]Master!AG39</f>
        <v>MD</v>
      </c>
      <c r="D103" s="337">
        <v>0</v>
      </c>
      <c r="E103" s="337">
        <v>0</v>
      </c>
      <c r="F103" s="337">
        <v>0</v>
      </c>
      <c r="G103" s="337">
        <v>0</v>
      </c>
      <c r="H103" s="337">
        <v>0</v>
      </c>
      <c r="I103" s="337">
        <v>0</v>
      </c>
      <c r="J103" s="337">
        <v>0</v>
      </c>
      <c r="K103" s="337">
        <v>0</v>
      </c>
      <c r="L103" s="337">
        <v>0</v>
      </c>
      <c r="M103" s="337">
        <v>0</v>
      </c>
      <c r="N103" s="337">
        <v>0</v>
      </c>
      <c r="O103" s="337">
        <v>0</v>
      </c>
      <c r="P103" s="337">
        <f>SUM(D103:O103)</f>
        <v>0</v>
      </c>
      <c r="Q103" s="336" t="str">
        <f>[1]Master!AF39</f>
        <v>MOLDOVA</v>
      </c>
    </row>
    <row r="104" spans="2:17" ht="15.75" thickBot="1" x14ac:dyDescent="0.3">
      <c r="B104" s="336" t="str">
        <f>[1]Master!AF40</f>
        <v>MALI</v>
      </c>
      <c r="C104" s="332" t="str">
        <f>[1]Master!AG40</f>
        <v>ML</v>
      </c>
      <c r="D104" s="337">
        <v>0</v>
      </c>
      <c r="E104" s="337">
        <v>0</v>
      </c>
      <c r="F104" s="337">
        <v>0</v>
      </c>
      <c r="G104" s="337">
        <v>0</v>
      </c>
      <c r="H104" s="337">
        <v>0</v>
      </c>
      <c r="I104" s="337">
        <v>0</v>
      </c>
      <c r="J104" s="337">
        <v>0</v>
      </c>
      <c r="K104" s="337">
        <v>0</v>
      </c>
      <c r="L104" s="337">
        <v>0</v>
      </c>
      <c r="M104" s="337">
        <v>0</v>
      </c>
      <c r="N104" s="337">
        <v>0</v>
      </c>
      <c r="O104" s="337">
        <v>0</v>
      </c>
      <c r="P104" s="337">
        <f>SUM(D104:O104)</f>
        <v>0</v>
      </c>
      <c r="Q104" s="336" t="str">
        <f>[1]Master!AF40</f>
        <v>MALI</v>
      </c>
    </row>
    <row r="105" spans="2:17" ht="15.75" thickBot="1" x14ac:dyDescent="0.3">
      <c r="B105" s="336" t="str">
        <f>[1]Master!AF41</f>
        <v>MALAYSIA</v>
      </c>
      <c r="C105" s="332" t="str">
        <f>[1]Master!AG41</f>
        <v>MY</v>
      </c>
      <c r="D105" s="337">
        <v>0</v>
      </c>
      <c r="E105" s="337">
        <v>0</v>
      </c>
      <c r="F105" s="337">
        <v>0</v>
      </c>
      <c r="G105" s="337">
        <v>0</v>
      </c>
      <c r="H105" s="337">
        <v>0</v>
      </c>
      <c r="I105" s="337">
        <v>0</v>
      </c>
      <c r="J105" s="337">
        <v>0</v>
      </c>
      <c r="K105" s="337">
        <v>0</v>
      </c>
      <c r="L105" s="337">
        <v>0</v>
      </c>
      <c r="M105" s="337">
        <v>0</v>
      </c>
      <c r="N105" s="337">
        <v>0</v>
      </c>
      <c r="O105" s="337">
        <v>0</v>
      </c>
      <c r="P105" s="337">
        <f>SUM(D105:O105)</f>
        <v>0</v>
      </c>
      <c r="Q105" s="336" t="str">
        <f>[1]Master!AF41</f>
        <v>MALAYSIA</v>
      </c>
    </row>
    <row r="106" spans="2:17" ht="15.75" thickBot="1" x14ac:dyDescent="0.3">
      <c r="B106" s="336" t="str">
        <f>[1]Master!AF42</f>
        <v>NAMIBIA</v>
      </c>
      <c r="C106" s="332" t="str">
        <f>[1]Master!AG42</f>
        <v>WA</v>
      </c>
      <c r="D106" s="337">
        <v>0</v>
      </c>
      <c r="E106" s="337">
        <v>0</v>
      </c>
      <c r="F106" s="337">
        <v>0</v>
      </c>
      <c r="G106" s="337">
        <v>0</v>
      </c>
      <c r="H106" s="337">
        <v>0</v>
      </c>
      <c r="I106" s="337">
        <v>0</v>
      </c>
      <c r="J106" s="337">
        <v>0</v>
      </c>
      <c r="K106" s="337">
        <v>0</v>
      </c>
      <c r="L106" s="337">
        <v>0</v>
      </c>
      <c r="M106" s="337">
        <v>0</v>
      </c>
      <c r="N106" s="337">
        <v>0</v>
      </c>
      <c r="O106" s="337">
        <v>0</v>
      </c>
      <c r="P106" s="337">
        <f>SUM(D106:O106)</f>
        <v>0</v>
      </c>
      <c r="Q106" s="336" t="str">
        <f>[1]Master!AF42</f>
        <v>NAMIBIA</v>
      </c>
    </row>
    <row r="107" spans="2:17" ht="15.75" thickBot="1" x14ac:dyDescent="0.3">
      <c r="B107" s="336" t="str">
        <f>[1]Master!AF43</f>
        <v>NEPAL</v>
      </c>
      <c r="C107" s="332" t="str">
        <f>[1]Master!AG43</f>
        <v>NP</v>
      </c>
      <c r="D107" s="337">
        <v>1</v>
      </c>
      <c r="E107" s="337">
        <v>0</v>
      </c>
      <c r="F107" s="337">
        <v>0</v>
      </c>
      <c r="G107" s="337">
        <v>1</v>
      </c>
      <c r="H107" s="337">
        <v>0</v>
      </c>
      <c r="I107" s="337">
        <v>0</v>
      </c>
      <c r="J107" s="337">
        <v>0</v>
      </c>
      <c r="K107" s="337">
        <v>0</v>
      </c>
      <c r="L107" s="337">
        <v>0</v>
      </c>
      <c r="M107" s="337">
        <v>0</v>
      </c>
      <c r="N107" s="337">
        <v>0</v>
      </c>
      <c r="O107" s="337">
        <v>0</v>
      </c>
      <c r="P107" s="337">
        <f>SUM(D107:O107)</f>
        <v>2</v>
      </c>
      <c r="Q107" s="336" t="str">
        <f>[1]Master!AF43</f>
        <v>NEPAL</v>
      </c>
    </row>
    <row r="108" spans="2:17" ht="15.75" thickBot="1" x14ac:dyDescent="0.3">
      <c r="B108" s="336" t="str">
        <f>[1]Master!AF44</f>
        <v>NIGERIA</v>
      </c>
      <c r="C108" s="332" t="str">
        <f>[1]Master!AG44</f>
        <v>NI</v>
      </c>
      <c r="D108" s="337">
        <v>0</v>
      </c>
      <c r="E108" s="337">
        <v>0</v>
      </c>
      <c r="F108" s="337">
        <v>0</v>
      </c>
      <c r="G108" s="337">
        <v>0</v>
      </c>
      <c r="H108" s="337">
        <v>0</v>
      </c>
      <c r="I108" s="337">
        <v>0</v>
      </c>
      <c r="J108" s="337">
        <v>0</v>
      </c>
      <c r="K108" s="337">
        <v>0</v>
      </c>
      <c r="L108" s="337">
        <v>0</v>
      </c>
      <c r="M108" s="337">
        <v>0</v>
      </c>
      <c r="N108" s="337">
        <v>0</v>
      </c>
      <c r="O108" s="337">
        <v>0</v>
      </c>
      <c r="P108" s="337">
        <f>SUM(D108:O108)</f>
        <v>0</v>
      </c>
      <c r="Q108" s="336" t="str">
        <f>[1]Master!AF44</f>
        <v>NIGERIA</v>
      </c>
    </row>
    <row r="109" spans="2:17" ht="15.75" thickBot="1" x14ac:dyDescent="0.3">
      <c r="B109" s="336" t="str">
        <f>[1]Master!AF45</f>
        <v>PAKISTAN</v>
      </c>
      <c r="C109" s="332" t="str">
        <f>[1]Master!AG45</f>
        <v>PK</v>
      </c>
      <c r="D109" s="337">
        <v>0</v>
      </c>
      <c r="E109" s="337">
        <v>0</v>
      </c>
      <c r="F109" s="337">
        <v>0</v>
      </c>
      <c r="G109" s="337">
        <v>0</v>
      </c>
      <c r="H109" s="337">
        <v>0</v>
      </c>
      <c r="I109" s="337">
        <v>0</v>
      </c>
      <c r="J109" s="337">
        <v>0</v>
      </c>
      <c r="K109" s="337">
        <v>0</v>
      </c>
      <c r="L109" s="337">
        <v>0</v>
      </c>
      <c r="M109" s="337">
        <v>0</v>
      </c>
      <c r="N109" s="337">
        <v>0</v>
      </c>
      <c r="O109" s="337">
        <v>0</v>
      </c>
      <c r="P109" s="337">
        <f>SUM(D109:O109)</f>
        <v>0</v>
      </c>
      <c r="Q109" s="336" t="str">
        <f>[1]Master!AF45</f>
        <v>PAKISTAN</v>
      </c>
    </row>
    <row r="110" spans="2:17" ht="15.75" thickBot="1" x14ac:dyDescent="0.3">
      <c r="B110" s="336" t="str">
        <f>[1]Master!AF46</f>
        <v>PITCAIRN ISLANDS</v>
      </c>
      <c r="C110" s="332" t="str">
        <f>[1]Master!AG46</f>
        <v>PN</v>
      </c>
      <c r="D110" s="337">
        <v>0</v>
      </c>
      <c r="E110" s="337">
        <v>0</v>
      </c>
      <c r="F110" s="337">
        <v>0</v>
      </c>
      <c r="G110" s="337">
        <v>0</v>
      </c>
      <c r="H110" s="337">
        <v>0</v>
      </c>
      <c r="I110" s="337">
        <v>0</v>
      </c>
      <c r="J110" s="337">
        <v>0</v>
      </c>
      <c r="K110" s="337">
        <v>0</v>
      </c>
      <c r="L110" s="337">
        <v>0</v>
      </c>
      <c r="M110" s="337">
        <v>0</v>
      </c>
      <c r="N110" s="337">
        <v>0</v>
      </c>
      <c r="O110" s="337">
        <v>0</v>
      </c>
      <c r="P110" s="337">
        <f>SUM(D110:O110)</f>
        <v>0</v>
      </c>
      <c r="Q110" s="336" t="str">
        <f>[1]Master!AF46</f>
        <v>PITCAIRN ISLANDS</v>
      </c>
    </row>
    <row r="111" spans="2:17" ht="15.75" thickBot="1" x14ac:dyDescent="0.3">
      <c r="B111" s="336" t="str">
        <f>[1]Master!AF47</f>
        <v>RWANDA</v>
      </c>
      <c r="C111" s="332" t="str">
        <f>[1]Master!AG47</f>
        <v>RW</v>
      </c>
      <c r="D111" s="337">
        <v>0</v>
      </c>
      <c r="E111" s="337">
        <v>0</v>
      </c>
      <c r="F111" s="337">
        <v>0</v>
      </c>
      <c r="G111" s="337">
        <v>0</v>
      </c>
      <c r="H111" s="337">
        <v>0</v>
      </c>
      <c r="I111" s="337">
        <v>0</v>
      </c>
      <c r="J111" s="337">
        <v>0</v>
      </c>
      <c r="K111" s="337">
        <v>0</v>
      </c>
      <c r="L111" s="337">
        <v>0</v>
      </c>
      <c r="M111" s="337">
        <v>0</v>
      </c>
      <c r="N111" s="337">
        <v>0</v>
      </c>
      <c r="O111" s="337">
        <v>0</v>
      </c>
      <c r="P111" s="337">
        <f>SUM(D111:O111)</f>
        <v>0</v>
      </c>
      <c r="Q111" s="336" t="str">
        <f>[1]Master!AF47</f>
        <v>RWANDA</v>
      </c>
    </row>
    <row r="112" spans="2:17" ht="15.75" thickBot="1" x14ac:dyDescent="0.3">
      <c r="B112" s="336" t="str">
        <f>[1]Master!AF48</f>
        <v>RUSSIA</v>
      </c>
      <c r="C112" s="332" t="str">
        <f>[1]Master!AG48</f>
        <v>RS</v>
      </c>
      <c r="D112" s="337">
        <v>0</v>
      </c>
      <c r="E112" s="337">
        <v>0</v>
      </c>
      <c r="F112" s="337">
        <v>0</v>
      </c>
      <c r="G112" s="337">
        <v>0</v>
      </c>
      <c r="H112" s="337">
        <v>0</v>
      </c>
      <c r="I112" s="337">
        <v>0</v>
      </c>
      <c r="J112" s="337">
        <v>1</v>
      </c>
      <c r="K112" s="337">
        <v>0</v>
      </c>
      <c r="L112" s="337">
        <v>0</v>
      </c>
      <c r="M112" s="337">
        <v>0</v>
      </c>
      <c r="N112" s="337">
        <v>4</v>
      </c>
      <c r="O112" s="337">
        <v>0</v>
      </c>
      <c r="P112" s="337">
        <f>SUM(D112:O112)</f>
        <v>5</v>
      </c>
      <c r="Q112" s="336" t="str">
        <f>[1]Master!AF48</f>
        <v>RUSSIA</v>
      </c>
    </row>
    <row r="113" spans="2:17" ht="15.75" thickBot="1" x14ac:dyDescent="0.3">
      <c r="B113" s="336" t="str">
        <f>[1]Master!AF49</f>
        <v>SIERRA LEON</v>
      </c>
      <c r="C113" s="332" t="str">
        <f>[1]Master!AG49</f>
        <v>SL</v>
      </c>
      <c r="D113" s="337">
        <v>0</v>
      </c>
      <c r="E113" s="337">
        <v>0</v>
      </c>
      <c r="F113" s="337">
        <v>0</v>
      </c>
      <c r="G113" s="337">
        <v>0</v>
      </c>
      <c r="H113" s="337">
        <v>0</v>
      </c>
      <c r="I113" s="337">
        <v>0</v>
      </c>
      <c r="J113" s="337">
        <v>0</v>
      </c>
      <c r="K113" s="337">
        <v>0</v>
      </c>
      <c r="L113" s="337">
        <v>0</v>
      </c>
      <c r="M113" s="337">
        <v>0</v>
      </c>
      <c r="N113" s="337">
        <v>0</v>
      </c>
      <c r="O113" s="337">
        <v>0</v>
      </c>
      <c r="P113" s="337">
        <f>SUM(D113:O113)</f>
        <v>0</v>
      </c>
      <c r="Q113" s="336" t="str">
        <f>[1]Master!AF49</f>
        <v>SIERRA LEON</v>
      </c>
    </row>
    <row r="114" spans="2:17" ht="15.75" thickBot="1" x14ac:dyDescent="0.3">
      <c r="B114" s="336" t="str">
        <f>[1]Master!AF50</f>
        <v>SOMALIA</v>
      </c>
      <c r="C114" s="332" t="str">
        <f>[1]Master!AG50</f>
        <v>SO</v>
      </c>
      <c r="D114" s="337">
        <v>0</v>
      </c>
      <c r="E114" s="337">
        <v>0</v>
      </c>
      <c r="F114" s="337">
        <v>0</v>
      </c>
      <c r="G114" s="337">
        <v>0</v>
      </c>
      <c r="H114" s="337">
        <v>0</v>
      </c>
      <c r="I114" s="337">
        <v>0</v>
      </c>
      <c r="J114" s="337">
        <v>0</v>
      </c>
      <c r="K114" s="337">
        <v>0</v>
      </c>
      <c r="L114" s="337">
        <v>0</v>
      </c>
      <c r="M114" s="337">
        <v>0</v>
      </c>
      <c r="N114" s="337">
        <v>0</v>
      </c>
      <c r="O114" s="337">
        <v>0</v>
      </c>
      <c r="P114" s="337">
        <f>SUM(D114:O114)</f>
        <v>0</v>
      </c>
      <c r="Q114" s="336" t="str">
        <f>[1]Master!AF50</f>
        <v>SOMALIA</v>
      </c>
    </row>
    <row r="115" spans="2:17" ht="15.75" thickBot="1" x14ac:dyDescent="0.3">
      <c r="B115" s="336" t="str">
        <f>[1]Master!AF51</f>
        <v>SPAIN</v>
      </c>
      <c r="C115" s="332" t="str">
        <f>[1]Master!AG51</f>
        <v>ES</v>
      </c>
      <c r="D115" s="337">
        <v>0</v>
      </c>
      <c r="E115" s="337">
        <v>0</v>
      </c>
      <c r="F115" s="337">
        <v>0</v>
      </c>
      <c r="G115" s="337">
        <v>0</v>
      </c>
      <c r="H115" s="337">
        <v>0</v>
      </c>
      <c r="I115" s="337">
        <v>0</v>
      </c>
      <c r="J115" s="337">
        <v>0</v>
      </c>
      <c r="K115" s="337">
        <v>0</v>
      </c>
      <c r="L115" s="337">
        <v>0</v>
      </c>
      <c r="M115" s="337">
        <v>0</v>
      </c>
      <c r="N115" s="337">
        <v>0</v>
      </c>
      <c r="O115" s="337">
        <v>0</v>
      </c>
      <c r="P115" s="337">
        <f>SUM(D115:O115)</f>
        <v>0</v>
      </c>
      <c r="Q115" s="336" t="str">
        <f>[1]Master!AF51</f>
        <v>SPAIN</v>
      </c>
    </row>
    <row r="116" spans="2:17" ht="15.75" thickBot="1" x14ac:dyDescent="0.3">
      <c r="B116" s="336" t="str">
        <f>[1]Master!AF52</f>
        <v>SOUTH SUDAN</v>
      </c>
      <c r="C116" s="332" t="str">
        <f>[1]Master!AG52</f>
        <v>SS</v>
      </c>
      <c r="D116" s="337">
        <v>0</v>
      </c>
      <c r="E116" s="337">
        <v>0</v>
      </c>
      <c r="F116" s="337">
        <v>0</v>
      </c>
      <c r="G116" s="337">
        <v>0</v>
      </c>
      <c r="H116" s="337">
        <v>0</v>
      </c>
      <c r="I116" s="337">
        <v>0</v>
      </c>
      <c r="J116" s="337">
        <v>0</v>
      </c>
      <c r="K116" s="337">
        <v>0</v>
      </c>
      <c r="L116" s="337">
        <v>0</v>
      </c>
      <c r="M116" s="337">
        <v>0</v>
      </c>
      <c r="N116" s="337">
        <v>0</v>
      </c>
      <c r="O116" s="337">
        <v>0</v>
      </c>
      <c r="P116" s="337">
        <f>SUM(D116:O116)</f>
        <v>0</v>
      </c>
      <c r="Q116" s="336" t="str">
        <f>[1]Master!AF52</f>
        <v>SOUTH SUDAN</v>
      </c>
    </row>
    <row r="117" spans="2:17" ht="15.75" thickBot="1" x14ac:dyDescent="0.3">
      <c r="B117" s="336" t="str">
        <f>[1]Master!AF53</f>
        <v>SRI LANKA</v>
      </c>
      <c r="C117" s="332" t="str">
        <f>[1]Master!AG53</f>
        <v>CE</v>
      </c>
      <c r="D117" s="337">
        <v>0</v>
      </c>
      <c r="E117" s="337">
        <v>0</v>
      </c>
      <c r="F117" s="337">
        <v>0</v>
      </c>
      <c r="G117" s="337">
        <v>0</v>
      </c>
      <c r="H117" s="337">
        <v>0</v>
      </c>
      <c r="I117" s="337">
        <v>0</v>
      </c>
      <c r="J117" s="337">
        <v>0</v>
      </c>
      <c r="K117" s="337">
        <v>0</v>
      </c>
      <c r="L117" s="337">
        <v>0</v>
      </c>
      <c r="M117" s="337">
        <v>0</v>
      </c>
      <c r="N117" s="337">
        <v>0</v>
      </c>
      <c r="O117" s="337">
        <v>0</v>
      </c>
      <c r="P117" s="337">
        <f>SUM(D117:O117)</f>
        <v>0</v>
      </c>
      <c r="Q117" s="336" t="str">
        <f>[1]Master!AF53</f>
        <v>SRI LANKA</v>
      </c>
    </row>
    <row r="118" spans="2:17" ht="15.75" thickBot="1" x14ac:dyDescent="0.3">
      <c r="B118" s="336" t="str">
        <f>[1]Master!AF54</f>
        <v>SUDAN</v>
      </c>
      <c r="C118" s="332" t="str">
        <f>[1]Master!AG54</f>
        <v>SU</v>
      </c>
      <c r="D118" s="337">
        <v>0</v>
      </c>
      <c r="E118" s="337">
        <v>0</v>
      </c>
      <c r="F118" s="337">
        <v>0</v>
      </c>
      <c r="G118" s="337">
        <v>0</v>
      </c>
      <c r="H118" s="337">
        <v>0</v>
      </c>
      <c r="I118" s="337">
        <v>0</v>
      </c>
      <c r="J118" s="337">
        <v>0</v>
      </c>
      <c r="K118" s="337">
        <v>0</v>
      </c>
      <c r="L118" s="337">
        <v>0</v>
      </c>
      <c r="M118" s="337">
        <v>0</v>
      </c>
      <c r="N118" s="337">
        <v>0</v>
      </c>
      <c r="O118" s="337">
        <v>0</v>
      </c>
      <c r="P118" s="337">
        <f>SUM(D118:O118)</f>
        <v>0</v>
      </c>
      <c r="Q118" s="336" t="str">
        <f>[1]Master!AF54</f>
        <v>SUDAN</v>
      </c>
    </row>
    <row r="119" spans="2:17" ht="15.75" thickBot="1" x14ac:dyDescent="0.3">
      <c r="B119" s="336" t="str">
        <f>[1]Master!AF55</f>
        <v>SYRIA</v>
      </c>
      <c r="C119" s="332" t="str">
        <f>[1]Master!AG55</f>
        <v>SY</v>
      </c>
      <c r="D119" s="337">
        <v>0</v>
      </c>
      <c r="E119" s="337">
        <v>19</v>
      </c>
      <c r="F119" s="337">
        <v>5</v>
      </c>
      <c r="G119" s="337">
        <v>3</v>
      </c>
      <c r="H119" s="337">
        <v>4</v>
      </c>
      <c r="I119" s="337">
        <v>0</v>
      </c>
      <c r="J119" s="337">
        <v>0</v>
      </c>
      <c r="K119" s="337">
        <v>0</v>
      </c>
      <c r="L119" s="337">
        <v>0</v>
      </c>
      <c r="M119" s="337">
        <v>0</v>
      </c>
      <c r="N119" s="337">
        <v>0</v>
      </c>
      <c r="O119" s="337">
        <v>0</v>
      </c>
      <c r="P119" s="337">
        <f>SUM(D119:O119)</f>
        <v>31</v>
      </c>
      <c r="Q119" s="336" t="str">
        <f>[1]Master!AF55</f>
        <v>SYRIA</v>
      </c>
    </row>
    <row r="120" spans="2:17" ht="15.75" thickBot="1" x14ac:dyDescent="0.3">
      <c r="B120" s="336" t="str">
        <f>[1]Master!AF56</f>
        <v>TAJIKISTAN</v>
      </c>
      <c r="C120" s="332" t="str">
        <f>[1]Master!AG56</f>
        <v>TI</v>
      </c>
      <c r="D120" s="337">
        <v>0</v>
      </c>
      <c r="E120" s="337">
        <v>0</v>
      </c>
      <c r="F120" s="337">
        <v>0</v>
      </c>
      <c r="G120" s="337">
        <v>0</v>
      </c>
      <c r="H120" s="337">
        <v>0</v>
      </c>
      <c r="I120" s="337">
        <v>0</v>
      </c>
      <c r="J120" s="337">
        <v>0</v>
      </c>
      <c r="K120" s="337">
        <v>0</v>
      </c>
      <c r="L120" s="337">
        <v>0</v>
      </c>
      <c r="M120" s="337">
        <v>0</v>
      </c>
      <c r="N120" s="337">
        <v>0</v>
      </c>
      <c r="O120" s="337">
        <v>0</v>
      </c>
      <c r="P120" s="337">
        <f>SUM(D120:O120)</f>
        <v>0</v>
      </c>
      <c r="Q120" s="336" t="str">
        <f>[1]Master!AF56</f>
        <v>TAJIKISTAN</v>
      </c>
    </row>
    <row r="121" spans="2:17" ht="15.75" thickBot="1" x14ac:dyDescent="0.3">
      <c r="B121" s="336" t="str">
        <f>[1]Master!AF57</f>
        <v>TANZANIA</v>
      </c>
      <c r="C121" s="332" t="str">
        <f>[1]Master!AG57</f>
        <v>TZ</v>
      </c>
      <c r="D121" s="337">
        <v>0</v>
      </c>
      <c r="E121" s="337">
        <v>0</v>
      </c>
      <c r="F121" s="337">
        <v>0</v>
      </c>
      <c r="G121" s="337">
        <v>0</v>
      </c>
      <c r="H121" s="337">
        <v>0</v>
      </c>
      <c r="I121" s="337">
        <v>0</v>
      </c>
      <c r="J121" s="337">
        <v>0</v>
      </c>
      <c r="K121" s="337">
        <v>0</v>
      </c>
      <c r="L121" s="337">
        <v>0</v>
      </c>
      <c r="M121" s="337">
        <v>0</v>
      </c>
      <c r="N121" s="337">
        <v>0</v>
      </c>
      <c r="O121" s="337">
        <v>0</v>
      </c>
      <c r="P121" s="337">
        <f>SUM(D121:O121)</f>
        <v>0</v>
      </c>
      <c r="Q121" s="336" t="str">
        <f>[1]Master!AF57</f>
        <v>TANZANIA</v>
      </c>
    </row>
    <row r="122" spans="2:17" ht="15.75" thickBot="1" x14ac:dyDescent="0.3">
      <c r="B122" s="336" t="str">
        <f>[1]Master!AF58</f>
        <v>THAILAND</v>
      </c>
      <c r="C122" s="332" t="str">
        <f>[1]Master!AG58</f>
        <v>TH</v>
      </c>
      <c r="D122" s="337">
        <v>0</v>
      </c>
      <c r="E122" s="337">
        <v>0</v>
      </c>
      <c r="F122" s="337">
        <v>0</v>
      </c>
      <c r="G122" s="337">
        <v>0</v>
      </c>
      <c r="H122" s="337">
        <v>0</v>
      </c>
      <c r="I122" s="337">
        <v>0</v>
      </c>
      <c r="J122" s="337">
        <v>0</v>
      </c>
      <c r="K122" s="337">
        <v>0</v>
      </c>
      <c r="L122" s="337">
        <v>0</v>
      </c>
      <c r="M122" s="337">
        <v>0</v>
      </c>
      <c r="N122" s="337">
        <v>0</v>
      </c>
      <c r="O122" s="337">
        <v>0</v>
      </c>
      <c r="P122" s="337">
        <f>SUM(D122:O122)</f>
        <v>0</v>
      </c>
      <c r="Q122" s="336" t="str">
        <f>[1]Master!AF58</f>
        <v>THAILAND</v>
      </c>
    </row>
    <row r="123" spans="2:17" ht="15.75" thickBot="1" x14ac:dyDescent="0.3">
      <c r="B123" s="336" t="str">
        <f>[1]Master!AF59</f>
        <v>UGANDA</v>
      </c>
      <c r="C123" s="332" t="str">
        <f>[1]Master!AG59</f>
        <v>UG</v>
      </c>
      <c r="D123" s="337">
        <v>0</v>
      </c>
      <c r="E123" s="337">
        <v>0</v>
      </c>
      <c r="F123" s="337">
        <v>0</v>
      </c>
      <c r="G123" s="337">
        <v>0</v>
      </c>
      <c r="H123" s="337">
        <v>0</v>
      </c>
      <c r="I123" s="337">
        <v>0</v>
      </c>
      <c r="J123" s="337">
        <v>0</v>
      </c>
      <c r="K123" s="337">
        <v>0</v>
      </c>
      <c r="L123" s="337">
        <v>0</v>
      </c>
      <c r="M123" s="337">
        <v>0</v>
      </c>
      <c r="N123" s="337">
        <v>0</v>
      </c>
      <c r="O123" s="337">
        <v>0</v>
      </c>
      <c r="P123" s="337">
        <f>SUM(D123:O123)</f>
        <v>0</v>
      </c>
      <c r="Q123" s="336" t="str">
        <f>[1]Master!AF59</f>
        <v>UGANDA</v>
      </c>
    </row>
    <row r="124" spans="2:17" ht="15.75" thickBot="1" x14ac:dyDescent="0.3">
      <c r="B124" s="336" t="str">
        <f>[1]Master!AF60</f>
        <v>UKRAINE</v>
      </c>
      <c r="C124" s="332" t="str">
        <f>[1]Master!AG60</f>
        <v>UP</v>
      </c>
      <c r="D124" s="338">
        <v>0</v>
      </c>
      <c r="E124" s="338">
        <v>0</v>
      </c>
      <c r="F124" s="338">
        <v>0</v>
      </c>
      <c r="G124" s="337">
        <v>0</v>
      </c>
      <c r="H124" s="338">
        <v>0</v>
      </c>
      <c r="I124" s="338">
        <v>0</v>
      </c>
      <c r="J124" s="338">
        <v>0</v>
      </c>
      <c r="K124" s="337">
        <v>0</v>
      </c>
      <c r="L124" s="338">
        <v>0</v>
      </c>
      <c r="M124" s="338">
        <v>0</v>
      </c>
      <c r="N124" s="338">
        <v>0</v>
      </c>
      <c r="O124" s="338">
        <v>0</v>
      </c>
      <c r="P124" s="337">
        <f>SUM(D124:O124)</f>
        <v>0</v>
      </c>
      <c r="Q124" s="336" t="str">
        <f>[1]Master!AF60</f>
        <v>UKRAINE</v>
      </c>
    </row>
    <row r="125" spans="2:17" ht="15.75" thickBot="1" x14ac:dyDescent="0.3">
      <c r="B125" s="336" t="str">
        <f>[1]Master!AF61</f>
        <v>UZBEKISTAN</v>
      </c>
      <c r="C125" s="332" t="str">
        <f>[1]Master!AG61</f>
        <v>UZ</v>
      </c>
      <c r="D125" s="338">
        <v>0</v>
      </c>
      <c r="E125" s="338">
        <v>0</v>
      </c>
      <c r="F125" s="338">
        <v>0</v>
      </c>
      <c r="G125" s="337">
        <v>0</v>
      </c>
      <c r="H125" s="338">
        <v>0</v>
      </c>
      <c r="I125" s="338">
        <v>0</v>
      </c>
      <c r="J125" s="338">
        <v>0</v>
      </c>
      <c r="K125" s="337">
        <v>0</v>
      </c>
      <c r="L125" s="338">
        <v>0</v>
      </c>
      <c r="M125" s="338">
        <v>0</v>
      </c>
      <c r="N125" s="338">
        <v>0</v>
      </c>
      <c r="O125" s="338">
        <v>0</v>
      </c>
      <c r="P125" s="337">
        <f>SUM(D125:O125)</f>
        <v>0</v>
      </c>
      <c r="Q125" s="336" t="str">
        <f>[1]Master!AF61</f>
        <v>UZBEKISTAN</v>
      </c>
    </row>
    <row r="126" spans="2:17" ht="15.75" thickBot="1" x14ac:dyDescent="0.3">
      <c r="B126" s="336" t="str">
        <f>[1]Master!AF62</f>
        <v>VIETNAM</v>
      </c>
      <c r="C126" s="332" t="str">
        <f>[1]Master!AG62</f>
        <v>VM</v>
      </c>
      <c r="D126" s="338">
        <v>0</v>
      </c>
      <c r="E126" s="338">
        <v>0</v>
      </c>
      <c r="F126" s="338">
        <v>0</v>
      </c>
      <c r="G126" s="337">
        <v>0</v>
      </c>
      <c r="H126" s="338">
        <v>0</v>
      </c>
      <c r="I126" s="338">
        <v>0</v>
      </c>
      <c r="J126" s="338">
        <v>0</v>
      </c>
      <c r="K126" s="337">
        <v>0</v>
      </c>
      <c r="L126" s="338">
        <v>0</v>
      </c>
      <c r="M126" s="338">
        <v>0</v>
      </c>
      <c r="N126" s="338">
        <v>0</v>
      </c>
      <c r="O126" s="338">
        <v>0</v>
      </c>
      <c r="P126" s="337">
        <f>SUM(D126:O126)</f>
        <v>0</v>
      </c>
      <c r="Q126" s="336" t="str">
        <f>[1]Master!AF62</f>
        <v>VIETNAM</v>
      </c>
    </row>
    <row r="127" spans="2:17" ht="15.75" thickBot="1" x14ac:dyDescent="0.3">
      <c r="B127" s="336" t="str">
        <f>[1]Master!AF63</f>
        <v>ZAMBIA</v>
      </c>
      <c r="C127" s="332" t="str">
        <f>[1]Master!AG63</f>
        <v>ZA</v>
      </c>
      <c r="D127" s="338">
        <v>0</v>
      </c>
      <c r="E127" s="338">
        <v>0</v>
      </c>
      <c r="F127" s="338">
        <v>0</v>
      </c>
      <c r="G127" s="337">
        <v>0</v>
      </c>
      <c r="H127" s="338">
        <v>0</v>
      </c>
      <c r="I127" s="338">
        <v>0</v>
      </c>
      <c r="J127" s="338">
        <v>0</v>
      </c>
      <c r="K127" s="337">
        <v>0</v>
      </c>
      <c r="L127" s="338">
        <v>0</v>
      </c>
      <c r="M127" s="338">
        <v>0</v>
      </c>
      <c r="N127" s="338">
        <v>0</v>
      </c>
      <c r="O127" s="338">
        <v>0</v>
      </c>
      <c r="P127" s="337">
        <f>SUM(D127:O127)</f>
        <v>0</v>
      </c>
      <c r="Q127" s="336" t="str">
        <f>[1]Master!AF63</f>
        <v>ZAMBIA</v>
      </c>
    </row>
    <row r="128" spans="2:17" ht="15.75" thickBot="1" x14ac:dyDescent="0.3">
      <c r="B128" s="339" t="s">
        <v>53</v>
      </c>
      <c r="C128" s="340"/>
      <c r="D128" s="341">
        <f>SUM(D69:D127)</f>
        <v>19</v>
      </c>
      <c r="E128" s="341">
        <f>SUM(E69:E127)</f>
        <v>24</v>
      </c>
      <c r="F128" s="341">
        <f>SUM(F69:F127)</f>
        <v>11</v>
      </c>
      <c r="G128" s="341">
        <f>SUM(G69:G127)</f>
        <v>25</v>
      </c>
      <c r="H128" s="341">
        <f>SUM(H69:H127)</f>
        <v>6</v>
      </c>
      <c r="I128" s="341">
        <f>SUM(I69:I127)</f>
        <v>7</v>
      </c>
      <c r="J128" s="341">
        <f>SUM(J69:J127)</f>
        <v>6</v>
      </c>
      <c r="K128" s="341">
        <f>SUM(K69:K127)</f>
        <v>11</v>
      </c>
      <c r="L128" s="341">
        <f>SUM(L69:L127)</f>
        <v>15</v>
      </c>
      <c r="M128" s="341">
        <f>SUM(M69:M127)</f>
        <v>0</v>
      </c>
      <c r="N128" s="341">
        <f>SUM(N69:N127)</f>
        <v>13</v>
      </c>
      <c r="O128" s="341">
        <v>18</v>
      </c>
      <c r="P128" s="341">
        <f>SUM(P69:P127)</f>
        <v>155</v>
      </c>
      <c r="Q128" s="342" t="s">
        <v>53</v>
      </c>
    </row>
    <row r="129" spans="2:17" ht="15.75" thickBot="1" x14ac:dyDescent="0.3"/>
    <row r="130" spans="2:17" ht="15.75" thickBot="1" x14ac:dyDescent="0.3">
      <c r="B130" s="322" t="s">
        <v>3</v>
      </c>
      <c r="C130" s="323"/>
      <c r="D130" s="323" t="s">
        <v>12</v>
      </c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4"/>
    </row>
    <row r="131" spans="2:17" ht="15.75" thickBot="1" x14ac:dyDescent="0.3">
      <c r="B131" s="325"/>
      <c r="C131" s="326"/>
      <c r="D131" s="327" t="s">
        <v>19</v>
      </c>
      <c r="E131" s="327" t="s">
        <v>20</v>
      </c>
      <c r="F131" s="327" t="s">
        <v>21</v>
      </c>
      <c r="G131" s="327" t="s">
        <v>22</v>
      </c>
      <c r="H131" s="327" t="s">
        <v>23</v>
      </c>
      <c r="I131" s="327" t="s">
        <v>24</v>
      </c>
      <c r="J131" s="327" t="s">
        <v>25</v>
      </c>
      <c r="K131" s="327" t="s">
        <v>26</v>
      </c>
      <c r="L131" s="327" t="s">
        <v>27</v>
      </c>
      <c r="M131" s="327" t="s">
        <v>28</v>
      </c>
      <c r="N131" s="327" t="s">
        <v>29</v>
      </c>
      <c r="O131" s="327" t="s">
        <v>30</v>
      </c>
      <c r="P131" s="328" t="s">
        <v>40</v>
      </c>
      <c r="Q131" s="329"/>
    </row>
    <row r="132" spans="2:17" ht="15.75" thickBot="1" x14ac:dyDescent="0.3">
      <c r="B132" s="330"/>
      <c r="C132" s="331"/>
      <c r="D132" s="332">
        <v>10</v>
      </c>
      <c r="E132" s="333">
        <v>11</v>
      </c>
      <c r="F132" s="333">
        <v>12</v>
      </c>
      <c r="G132" s="333">
        <v>1</v>
      </c>
      <c r="H132" s="333">
        <v>2</v>
      </c>
      <c r="I132" s="333">
        <v>3</v>
      </c>
      <c r="J132" s="333">
        <v>4</v>
      </c>
      <c r="K132" s="333">
        <v>5</v>
      </c>
      <c r="L132" s="333">
        <v>6</v>
      </c>
      <c r="M132" s="333">
        <v>7</v>
      </c>
      <c r="N132" s="333">
        <v>8</v>
      </c>
      <c r="O132" s="333">
        <v>9</v>
      </c>
      <c r="P132" s="334"/>
      <c r="Q132" s="335"/>
    </row>
    <row r="133" spans="2:17" ht="15.75" thickBot="1" x14ac:dyDescent="0.3">
      <c r="B133" s="336" t="str">
        <f>[1]Master!AF7</f>
        <v>AFGHANISTAN</v>
      </c>
      <c r="C133" s="332" t="str">
        <f>[1]Master!AG7</f>
        <v>AF</v>
      </c>
      <c r="D133" s="337">
        <v>0</v>
      </c>
      <c r="E133" s="337">
        <v>0</v>
      </c>
      <c r="F133" s="337">
        <v>0</v>
      </c>
      <c r="G133" s="337">
        <v>0</v>
      </c>
      <c r="H133" s="337">
        <v>0</v>
      </c>
      <c r="I133" s="337">
        <v>0</v>
      </c>
      <c r="J133" s="337">
        <v>0</v>
      </c>
      <c r="K133" s="337">
        <v>0</v>
      </c>
      <c r="L133" s="337">
        <v>0</v>
      </c>
      <c r="M133" s="337">
        <v>0</v>
      </c>
      <c r="N133" s="337">
        <v>0</v>
      </c>
      <c r="O133" s="337">
        <v>0</v>
      </c>
      <c r="P133" s="337">
        <f>SUM(D133:O133)</f>
        <v>0</v>
      </c>
      <c r="Q133" s="336" t="str">
        <f>[1]Master!AF7</f>
        <v>AFGHANISTAN</v>
      </c>
    </row>
    <row r="134" spans="2:17" ht="15.75" thickBot="1" x14ac:dyDescent="0.3">
      <c r="B134" s="336" t="str">
        <f>[1]Master!AF8</f>
        <v>ARMENIA</v>
      </c>
      <c r="C134" s="332" t="str">
        <f>[1]Master!AG8</f>
        <v>AM</v>
      </c>
      <c r="D134" s="337">
        <v>0</v>
      </c>
      <c r="E134" s="337">
        <v>0</v>
      </c>
      <c r="F134" s="337">
        <v>0</v>
      </c>
      <c r="G134" s="337">
        <v>0</v>
      </c>
      <c r="H134" s="337">
        <v>0</v>
      </c>
      <c r="I134" s="337">
        <v>0</v>
      </c>
      <c r="J134" s="337">
        <v>0</v>
      </c>
      <c r="K134" s="337">
        <v>0</v>
      </c>
      <c r="L134" s="337">
        <v>0</v>
      </c>
      <c r="M134" s="337">
        <v>0</v>
      </c>
      <c r="N134" s="337">
        <v>0</v>
      </c>
      <c r="O134" s="337">
        <v>0</v>
      </c>
      <c r="P134" s="337">
        <f t="shared" ref="P134" si="2">SUM(D134:O134)</f>
        <v>0</v>
      </c>
      <c r="Q134" s="336" t="str">
        <f>[1]Master!AF8</f>
        <v>ARMENIA</v>
      </c>
    </row>
    <row r="135" spans="2:17" ht="15.75" thickBot="1" x14ac:dyDescent="0.3">
      <c r="B135" s="336" t="s">
        <v>780</v>
      </c>
      <c r="C135" s="332" t="s">
        <v>333</v>
      </c>
      <c r="D135" s="337">
        <v>0</v>
      </c>
      <c r="E135" s="337">
        <v>0</v>
      </c>
      <c r="F135" s="337">
        <v>0</v>
      </c>
      <c r="G135" s="337">
        <v>0</v>
      </c>
      <c r="H135" s="337">
        <v>0</v>
      </c>
      <c r="I135" s="337">
        <v>0</v>
      </c>
      <c r="J135" s="337">
        <v>0</v>
      </c>
      <c r="K135" s="337">
        <v>0</v>
      </c>
      <c r="L135" s="337">
        <v>0</v>
      </c>
      <c r="M135" s="337">
        <v>0</v>
      </c>
      <c r="N135" s="337">
        <v>0</v>
      </c>
      <c r="O135" s="337">
        <v>0</v>
      </c>
      <c r="P135" s="337">
        <v>0</v>
      </c>
      <c r="Q135" s="336" t="s">
        <v>780</v>
      </c>
    </row>
    <row r="136" spans="2:17" ht="15.75" thickBot="1" x14ac:dyDescent="0.3">
      <c r="B136" s="336" t="str">
        <f>[1]Master!AF9</f>
        <v>BELARUS</v>
      </c>
      <c r="C136" s="332" t="str">
        <f>[1]Master!AG9</f>
        <v>BO</v>
      </c>
      <c r="D136" s="337">
        <v>0</v>
      </c>
      <c r="E136" s="337">
        <v>0</v>
      </c>
      <c r="F136" s="337">
        <v>0</v>
      </c>
      <c r="G136" s="337">
        <v>0</v>
      </c>
      <c r="H136" s="337">
        <v>0</v>
      </c>
      <c r="I136" s="337">
        <v>0</v>
      </c>
      <c r="J136" s="337">
        <v>0</v>
      </c>
      <c r="K136" s="337">
        <v>0</v>
      </c>
      <c r="L136" s="337">
        <v>0</v>
      </c>
      <c r="M136" s="337">
        <v>0</v>
      </c>
      <c r="N136" s="337">
        <v>0</v>
      </c>
      <c r="O136" s="337">
        <v>0</v>
      </c>
      <c r="P136" s="337">
        <f>SUM(D136:O136)</f>
        <v>0</v>
      </c>
      <c r="Q136" s="336" t="str">
        <f>[1]Master!AF9</f>
        <v>BELARUS</v>
      </c>
    </row>
    <row r="137" spans="2:17" ht="15.75" thickBot="1" x14ac:dyDescent="0.3">
      <c r="B137" s="336" t="str">
        <f>[1]Master!AF10</f>
        <v>BURMA</v>
      </c>
      <c r="C137" s="332" t="str">
        <f>[1]Master!AG10</f>
        <v>BM</v>
      </c>
      <c r="D137" s="337">
        <v>0</v>
      </c>
      <c r="E137" s="337">
        <v>0</v>
      </c>
      <c r="F137" s="337">
        <v>0</v>
      </c>
      <c r="G137" s="337">
        <v>0</v>
      </c>
      <c r="H137" s="337">
        <v>0</v>
      </c>
      <c r="I137" s="337">
        <v>0</v>
      </c>
      <c r="J137" s="337">
        <v>0</v>
      </c>
      <c r="K137" s="337">
        <v>0</v>
      </c>
      <c r="L137" s="337">
        <v>0</v>
      </c>
      <c r="M137" s="337">
        <v>0</v>
      </c>
      <c r="N137" s="337">
        <v>0</v>
      </c>
      <c r="O137" s="337">
        <v>0</v>
      </c>
      <c r="P137" s="337">
        <f>SUM(D137:O137)</f>
        <v>0</v>
      </c>
      <c r="Q137" s="336" t="str">
        <f>[1]Master!AF10</f>
        <v>BURMA</v>
      </c>
    </row>
    <row r="138" spans="2:17" ht="15.75" thickBot="1" x14ac:dyDescent="0.3">
      <c r="B138" s="336" t="str">
        <f>[1]Master!AF11</f>
        <v>BHUTAN</v>
      </c>
      <c r="C138" s="332" t="str">
        <f>[1]Master!AG11</f>
        <v>BT</v>
      </c>
      <c r="D138" s="337">
        <v>0</v>
      </c>
      <c r="E138" s="337">
        <v>0</v>
      </c>
      <c r="F138" s="337">
        <v>0</v>
      </c>
      <c r="G138" s="337">
        <v>0</v>
      </c>
      <c r="H138" s="337">
        <v>0</v>
      </c>
      <c r="I138" s="337">
        <v>0</v>
      </c>
      <c r="J138" s="337">
        <v>0</v>
      </c>
      <c r="K138" s="337">
        <v>0</v>
      </c>
      <c r="L138" s="337">
        <v>0</v>
      </c>
      <c r="M138" s="337">
        <v>0</v>
      </c>
      <c r="N138" s="337">
        <v>0</v>
      </c>
      <c r="O138" s="337">
        <v>0</v>
      </c>
      <c r="P138" s="337">
        <f>SUM(D138:O138)</f>
        <v>0</v>
      </c>
      <c r="Q138" s="336" t="str">
        <f>[1]Master!AF11</f>
        <v>BHUTAN</v>
      </c>
    </row>
    <row r="139" spans="2:17" ht="15.75" thickBot="1" x14ac:dyDescent="0.3">
      <c r="B139" s="336" t="s">
        <v>779</v>
      </c>
      <c r="C139" s="332" t="s">
        <v>287</v>
      </c>
      <c r="D139" s="337">
        <v>0</v>
      </c>
      <c r="E139" s="337">
        <v>0</v>
      </c>
      <c r="F139" s="337">
        <v>0</v>
      </c>
      <c r="G139" s="337">
        <v>0</v>
      </c>
      <c r="H139" s="337">
        <v>0</v>
      </c>
      <c r="I139" s="337">
        <v>0</v>
      </c>
      <c r="J139" s="337">
        <v>0</v>
      </c>
      <c r="K139" s="337">
        <v>0</v>
      </c>
      <c r="L139" s="337">
        <v>0</v>
      </c>
      <c r="M139" s="337">
        <v>0</v>
      </c>
      <c r="N139" s="337">
        <v>0</v>
      </c>
      <c r="O139" s="337">
        <v>0</v>
      </c>
      <c r="P139" s="337">
        <v>0</v>
      </c>
      <c r="Q139" s="336" t="s">
        <v>779</v>
      </c>
    </row>
    <row r="140" spans="2:17" ht="15.75" thickBot="1" x14ac:dyDescent="0.3">
      <c r="B140" s="336" t="str">
        <f>[1]Master!AF12</f>
        <v>BURUNDI</v>
      </c>
      <c r="C140" s="332" t="str">
        <f>[1]Master!AG12</f>
        <v>BY</v>
      </c>
      <c r="D140" s="337">
        <v>0</v>
      </c>
      <c r="E140" s="337">
        <v>0</v>
      </c>
      <c r="F140" s="337">
        <v>0</v>
      </c>
      <c r="G140" s="337">
        <v>0</v>
      </c>
      <c r="H140" s="337">
        <v>0</v>
      </c>
      <c r="I140" s="337">
        <v>0</v>
      </c>
      <c r="J140" s="337">
        <v>0</v>
      </c>
      <c r="K140" s="337">
        <v>0</v>
      </c>
      <c r="L140" s="337">
        <v>0</v>
      </c>
      <c r="M140" s="337">
        <v>0</v>
      </c>
      <c r="N140" s="337">
        <v>0</v>
      </c>
      <c r="O140" s="337">
        <v>0</v>
      </c>
      <c r="P140" s="337">
        <f>SUM(D140:O140)</f>
        <v>0</v>
      </c>
      <c r="Q140" s="336" t="str">
        <f>[1]Master!AF12</f>
        <v>BURUNDI</v>
      </c>
    </row>
    <row r="141" spans="2:17" ht="15.75" thickBot="1" x14ac:dyDescent="0.3">
      <c r="B141" s="336" t="str">
        <f>[1]Master!AF13</f>
        <v>CAMEROUN</v>
      </c>
      <c r="C141" s="332" t="str">
        <f>[1]Master!AG13</f>
        <v>CM</v>
      </c>
      <c r="D141" s="337">
        <v>0</v>
      </c>
      <c r="E141" s="337">
        <v>0</v>
      </c>
      <c r="F141" s="337">
        <v>0</v>
      </c>
      <c r="G141" s="337">
        <v>0</v>
      </c>
      <c r="H141" s="337">
        <v>0</v>
      </c>
      <c r="I141" s="337">
        <v>0</v>
      </c>
      <c r="J141" s="337">
        <v>0</v>
      </c>
      <c r="K141" s="337">
        <v>0</v>
      </c>
      <c r="L141" s="337">
        <v>0</v>
      </c>
      <c r="M141" s="337">
        <v>0</v>
      </c>
      <c r="N141" s="337">
        <v>0</v>
      </c>
      <c r="O141" s="337">
        <v>0</v>
      </c>
      <c r="P141" s="337">
        <f>SUM(D141:O141)</f>
        <v>0</v>
      </c>
      <c r="Q141" s="336" t="str">
        <f>[1]Master!AF13</f>
        <v>CAMEROUN</v>
      </c>
    </row>
    <row r="142" spans="2:17" ht="15.75" thickBot="1" x14ac:dyDescent="0.3">
      <c r="B142" s="336" t="str">
        <f>[1]Master!AF14</f>
        <v>CENTRAL AFR REP</v>
      </c>
      <c r="C142" s="332" t="str">
        <f>[1]Master!AG14</f>
        <v>CT</v>
      </c>
      <c r="D142" s="337">
        <v>0</v>
      </c>
      <c r="E142" s="337">
        <v>0</v>
      </c>
      <c r="F142" s="337">
        <v>0</v>
      </c>
      <c r="G142" s="337">
        <v>0</v>
      </c>
      <c r="H142" s="337">
        <v>0</v>
      </c>
      <c r="I142" s="337">
        <v>0</v>
      </c>
      <c r="J142" s="337">
        <v>0</v>
      </c>
      <c r="K142" s="337">
        <v>0</v>
      </c>
      <c r="L142" s="337">
        <v>0</v>
      </c>
      <c r="M142" s="337">
        <v>0</v>
      </c>
      <c r="N142" s="337">
        <v>0</v>
      </c>
      <c r="O142" s="337">
        <v>0</v>
      </c>
      <c r="P142" s="337">
        <f>SUM(D142:O142)</f>
        <v>0</v>
      </c>
      <c r="Q142" s="336" t="str">
        <f>[1]Master!AF14</f>
        <v>CENTRAL AFR REP</v>
      </c>
    </row>
    <row r="143" spans="2:17" ht="15.75" thickBot="1" x14ac:dyDescent="0.3">
      <c r="B143" s="336" t="str">
        <f>[1]Master!AF15</f>
        <v>CHINA</v>
      </c>
      <c r="C143" s="332" t="str">
        <f>[1]Master!AG15</f>
        <v>CH</v>
      </c>
      <c r="D143" s="337">
        <v>0</v>
      </c>
      <c r="E143" s="337">
        <v>0</v>
      </c>
      <c r="F143" s="337">
        <v>0</v>
      </c>
      <c r="G143" s="337">
        <v>0</v>
      </c>
      <c r="H143" s="337">
        <v>0</v>
      </c>
      <c r="I143" s="337">
        <v>0</v>
      </c>
      <c r="J143" s="337">
        <v>0</v>
      </c>
      <c r="K143" s="337">
        <v>0</v>
      </c>
      <c r="L143" s="337">
        <v>0</v>
      </c>
      <c r="M143" s="337">
        <v>0</v>
      </c>
      <c r="N143" s="337">
        <v>0</v>
      </c>
      <c r="O143" s="337">
        <v>0</v>
      </c>
      <c r="P143" s="337">
        <f>SUM(D143:O143)</f>
        <v>0</v>
      </c>
      <c r="Q143" s="336" t="str">
        <f>[1]Master!AF15</f>
        <v>CHINA</v>
      </c>
    </row>
    <row r="144" spans="2:17" ht="15.75" thickBot="1" x14ac:dyDescent="0.3">
      <c r="B144" s="336" t="str">
        <f>[1]Master!AF16</f>
        <v>DEM REP OF CONGO</v>
      </c>
      <c r="C144" s="332" t="str">
        <f>[1]Master!AG16</f>
        <v>CG</v>
      </c>
      <c r="D144" s="337">
        <v>0</v>
      </c>
      <c r="E144" s="337">
        <v>0</v>
      </c>
      <c r="F144" s="337">
        <v>0</v>
      </c>
      <c r="G144" s="337">
        <v>0</v>
      </c>
      <c r="H144" s="337">
        <v>0</v>
      </c>
      <c r="I144" s="337">
        <v>0</v>
      </c>
      <c r="J144" s="337">
        <v>0</v>
      </c>
      <c r="K144" s="337">
        <v>0</v>
      </c>
      <c r="L144" s="337">
        <v>0</v>
      </c>
      <c r="M144" s="337">
        <v>0</v>
      </c>
      <c r="N144" s="337">
        <v>0</v>
      </c>
      <c r="O144" s="337">
        <v>0</v>
      </c>
      <c r="P144" s="337">
        <f>SUM(D144:O144)</f>
        <v>0</v>
      </c>
      <c r="Q144" s="336" t="str">
        <f>[1]Master!AF16</f>
        <v>DEM REP OF CONGO</v>
      </c>
    </row>
    <row r="145" spans="2:17" ht="15.75" thickBot="1" x14ac:dyDescent="0.3">
      <c r="B145" s="336" t="str">
        <f>[1]Master!AF17</f>
        <v>COLUMBIA</v>
      </c>
      <c r="C145" s="332" t="str">
        <f>[1]Master!AG17</f>
        <v>CO</v>
      </c>
      <c r="D145" s="337">
        <v>0</v>
      </c>
      <c r="E145" s="337">
        <v>0</v>
      </c>
      <c r="F145" s="337">
        <v>0</v>
      </c>
      <c r="G145" s="337">
        <v>0</v>
      </c>
      <c r="H145" s="337">
        <v>0</v>
      </c>
      <c r="I145" s="337">
        <v>0</v>
      </c>
      <c r="J145" s="337">
        <v>0</v>
      </c>
      <c r="K145" s="337">
        <v>0</v>
      </c>
      <c r="L145" s="337">
        <v>0</v>
      </c>
      <c r="M145" s="337">
        <v>0</v>
      </c>
      <c r="N145" s="337">
        <v>0</v>
      </c>
      <c r="O145" s="337">
        <v>0</v>
      </c>
      <c r="P145" s="337">
        <f>SUM(D145:O145)</f>
        <v>0</v>
      </c>
      <c r="Q145" s="336" t="str">
        <f>[1]Master!AF17</f>
        <v>COLUMBIA</v>
      </c>
    </row>
    <row r="146" spans="2:17" ht="15.75" thickBot="1" x14ac:dyDescent="0.3">
      <c r="B146" s="336" t="str">
        <f>[1]Master!AF18</f>
        <v>CONGO</v>
      </c>
      <c r="C146" s="332" t="str">
        <f>[1]Master!AG18</f>
        <v>CF</v>
      </c>
      <c r="D146" s="337">
        <v>0</v>
      </c>
      <c r="E146" s="337">
        <v>0</v>
      </c>
      <c r="F146" s="337">
        <v>0</v>
      </c>
      <c r="G146" s="337">
        <v>0</v>
      </c>
      <c r="H146" s="337">
        <v>0</v>
      </c>
      <c r="I146" s="337">
        <v>0</v>
      </c>
      <c r="J146" s="337">
        <v>0</v>
      </c>
      <c r="K146" s="337">
        <v>0</v>
      </c>
      <c r="L146" s="337">
        <v>0</v>
      </c>
      <c r="M146" s="337">
        <v>0</v>
      </c>
      <c r="N146" s="337">
        <v>0</v>
      </c>
      <c r="O146" s="337">
        <v>0</v>
      </c>
      <c r="P146" s="337">
        <f>SUM(D146:O146)</f>
        <v>0</v>
      </c>
      <c r="Q146" s="336" t="str">
        <f>[1]Master!AF18</f>
        <v>CONGO</v>
      </c>
    </row>
    <row r="147" spans="2:17" ht="15.75" thickBot="1" x14ac:dyDescent="0.3">
      <c r="B147" s="336" t="str">
        <f>[1]Master!AF19</f>
        <v>CUBA</v>
      </c>
      <c r="C147" s="332" t="str">
        <f>[1]Master!AG19</f>
        <v>CU</v>
      </c>
      <c r="D147" s="337">
        <v>0</v>
      </c>
      <c r="E147" s="337">
        <v>0</v>
      </c>
      <c r="F147" s="337">
        <v>0</v>
      </c>
      <c r="G147" s="337">
        <v>0</v>
      </c>
      <c r="H147" s="337">
        <v>0</v>
      </c>
      <c r="I147" s="337">
        <v>0</v>
      </c>
      <c r="J147" s="337">
        <v>0</v>
      </c>
      <c r="K147" s="337">
        <v>0</v>
      </c>
      <c r="L147" s="337">
        <v>0</v>
      </c>
      <c r="M147" s="337">
        <v>0</v>
      </c>
      <c r="N147" s="337">
        <v>0</v>
      </c>
      <c r="O147" s="337">
        <v>0</v>
      </c>
      <c r="P147" s="337">
        <f>SUM(D147:O147)</f>
        <v>0</v>
      </c>
      <c r="Q147" s="336" t="str">
        <f>[1]Master!AF19</f>
        <v>CUBA</v>
      </c>
    </row>
    <row r="148" spans="2:17" ht="15.75" thickBot="1" x14ac:dyDescent="0.3">
      <c r="B148" s="336" t="str">
        <f>[1]Master!AF20</f>
        <v>CUBAN ENTRANT</v>
      </c>
      <c r="C148" s="332" t="str">
        <f>[1]Master!AG20</f>
        <v>CUE</v>
      </c>
      <c r="D148" s="337">
        <v>0</v>
      </c>
      <c r="E148" s="337">
        <v>0</v>
      </c>
      <c r="F148" s="337">
        <v>0</v>
      </c>
      <c r="G148" s="337">
        <v>0</v>
      </c>
      <c r="H148" s="337">
        <v>0</v>
      </c>
      <c r="I148" s="337">
        <v>0</v>
      </c>
      <c r="J148" s="337">
        <v>0</v>
      </c>
      <c r="K148" s="337">
        <v>0</v>
      </c>
      <c r="L148" s="337">
        <v>0</v>
      </c>
      <c r="M148" s="337">
        <v>0</v>
      </c>
      <c r="N148" s="337">
        <v>0</v>
      </c>
      <c r="O148" s="337">
        <v>0</v>
      </c>
      <c r="P148" s="337">
        <f>SUM(D148:O148)</f>
        <v>0</v>
      </c>
      <c r="Q148" s="336" t="str">
        <f>[1]Master!AF20</f>
        <v>CUBAN ENTRANT</v>
      </c>
    </row>
    <row r="149" spans="2:17" ht="15.75" thickBot="1" x14ac:dyDescent="0.3">
      <c r="B149" s="336" t="str">
        <f>[1]Master!AF21</f>
        <v>ECUADOR</v>
      </c>
      <c r="C149" s="332" t="str">
        <f>[1]Master!AG21</f>
        <v>EC</v>
      </c>
      <c r="D149" s="337">
        <v>0</v>
      </c>
      <c r="E149" s="337">
        <v>0</v>
      </c>
      <c r="F149" s="337">
        <v>0</v>
      </c>
      <c r="G149" s="337">
        <v>0</v>
      </c>
      <c r="H149" s="337">
        <v>0</v>
      </c>
      <c r="I149" s="337">
        <v>0</v>
      </c>
      <c r="J149" s="337">
        <v>0</v>
      </c>
      <c r="K149" s="337">
        <v>0</v>
      </c>
      <c r="L149" s="337">
        <v>0</v>
      </c>
      <c r="M149" s="337">
        <v>0</v>
      </c>
      <c r="N149" s="337">
        <v>0</v>
      </c>
      <c r="O149" s="337">
        <v>0</v>
      </c>
      <c r="P149" s="337">
        <f>SUM(D149:O149)</f>
        <v>0</v>
      </c>
      <c r="Q149" s="336" t="str">
        <f>[1]Master!AF21</f>
        <v>ECUADOR</v>
      </c>
    </row>
    <row r="150" spans="2:17" ht="15.75" thickBot="1" x14ac:dyDescent="0.3">
      <c r="B150" s="336" t="str">
        <f>[1]Master!AF22</f>
        <v>EGYPT</v>
      </c>
      <c r="C150" s="332" t="str">
        <f>[1]Master!AG22</f>
        <v>EG</v>
      </c>
      <c r="D150" s="337">
        <v>0</v>
      </c>
      <c r="E150" s="337">
        <v>0</v>
      </c>
      <c r="F150" s="337">
        <v>0</v>
      </c>
      <c r="G150" s="337">
        <v>0</v>
      </c>
      <c r="H150" s="337">
        <v>0</v>
      </c>
      <c r="I150" s="337">
        <v>0</v>
      </c>
      <c r="J150" s="337">
        <v>0</v>
      </c>
      <c r="K150" s="337">
        <v>0</v>
      </c>
      <c r="L150" s="337">
        <v>0</v>
      </c>
      <c r="M150" s="337">
        <v>0</v>
      </c>
      <c r="N150" s="337">
        <v>0</v>
      </c>
      <c r="O150" s="337">
        <v>0</v>
      </c>
      <c r="P150" s="337">
        <f>SUM(D150:O150)</f>
        <v>0</v>
      </c>
      <c r="Q150" s="336" t="str">
        <f>[1]Master!AF22</f>
        <v>EGYPT</v>
      </c>
    </row>
    <row r="151" spans="2:17" ht="15.75" thickBot="1" x14ac:dyDescent="0.3">
      <c r="B151" s="336" t="str">
        <f>[1]Master!AF23</f>
        <v>ERITREA</v>
      </c>
      <c r="C151" s="332" t="str">
        <f>[1]Master!AG23</f>
        <v>ER</v>
      </c>
      <c r="D151" s="337">
        <v>0</v>
      </c>
      <c r="E151" s="337">
        <v>0</v>
      </c>
      <c r="F151" s="337">
        <v>0</v>
      </c>
      <c r="G151" s="337">
        <v>0</v>
      </c>
      <c r="H151" s="337">
        <v>0</v>
      </c>
      <c r="I151" s="337">
        <v>0</v>
      </c>
      <c r="J151" s="337">
        <v>0</v>
      </c>
      <c r="K151" s="337">
        <v>0</v>
      </c>
      <c r="L151" s="337">
        <v>0</v>
      </c>
      <c r="M151" s="337">
        <v>0</v>
      </c>
      <c r="N151" s="337">
        <v>0</v>
      </c>
      <c r="O151" s="337">
        <v>0</v>
      </c>
      <c r="P151" s="337">
        <f>SUM(D151:O151)</f>
        <v>0</v>
      </c>
      <c r="Q151" s="336" t="str">
        <f>[1]Master!AF23</f>
        <v>ERITREA</v>
      </c>
    </row>
    <row r="152" spans="2:17" ht="15.75" thickBot="1" x14ac:dyDescent="0.3">
      <c r="B152" s="336" t="str">
        <f>[1]Master!AF24</f>
        <v>ETHIOPIA</v>
      </c>
      <c r="C152" s="332" t="str">
        <f>[1]Master!AG24</f>
        <v>ET</v>
      </c>
      <c r="D152" s="337">
        <v>0</v>
      </c>
      <c r="E152" s="337">
        <v>0</v>
      </c>
      <c r="F152" s="337">
        <v>0</v>
      </c>
      <c r="G152" s="337">
        <v>0</v>
      </c>
      <c r="H152" s="337">
        <v>0</v>
      </c>
      <c r="I152" s="337">
        <v>0</v>
      </c>
      <c r="J152" s="337">
        <v>0</v>
      </c>
      <c r="K152" s="337">
        <v>0</v>
      </c>
      <c r="L152" s="337">
        <v>0</v>
      </c>
      <c r="M152" s="337">
        <v>0</v>
      </c>
      <c r="N152" s="337">
        <v>0</v>
      </c>
      <c r="O152" s="337">
        <v>0</v>
      </c>
      <c r="P152" s="337">
        <f>SUM(D152:O152)</f>
        <v>0</v>
      </c>
      <c r="Q152" s="336" t="str">
        <f>[1]Master!AF24</f>
        <v>ETHIOPIA</v>
      </c>
    </row>
    <row r="153" spans="2:17" ht="15.75" thickBot="1" x14ac:dyDescent="0.3">
      <c r="B153" s="336" t="str">
        <f>[1]Master!AF25</f>
        <v>FRANCE</v>
      </c>
      <c r="C153" s="332" t="str">
        <f>[1]Master!AG25</f>
        <v>FR</v>
      </c>
      <c r="D153" s="337">
        <v>0</v>
      </c>
      <c r="E153" s="337">
        <v>0</v>
      </c>
      <c r="F153" s="337">
        <v>0</v>
      </c>
      <c r="G153" s="337">
        <v>0</v>
      </c>
      <c r="H153" s="337">
        <v>0</v>
      </c>
      <c r="I153" s="337">
        <v>0</v>
      </c>
      <c r="J153" s="337">
        <v>0</v>
      </c>
      <c r="K153" s="337">
        <v>0</v>
      </c>
      <c r="L153" s="337">
        <v>0</v>
      </c>
      <c r="M153" s="337">
        <v>0</v>
      </c>
      <c r="N153" s="337">
        <v>0</v>
      </c>
      <c r="O153" s="337">
        <v>0</v>
      </c>
      <c r="P153" s="337">
        <f>SUM(D153:O153)</f>
        <v>0</v>
      </c>
      <c r="Q153" s="336" t="str">
        <f>[1]Master!AF25</f>
        <v>FRANCE</v>
      </c>
    </row>
    <row r="154" spans="2:17" ht="15.75" thickBot="1" x14ac:dyDescent="0.3">
      <c r="B154" s="336" t="str">
        <f>[1]Master!AF26</f>
        <v>GUINEA</v>
      </c>
      <c r="C154" s="332" t="str">
        <f>[1]Master!AG26</f>
        <v>GV</v>
      </c>
      <c r="D154" s="337">
        <v>0</v>
      </c>
      <c r="E154" s="337">
        <v>0</v>
      </c>
      <c r="F154" s="337">
        <v>0</v>
      </c>
      <c r="G154" s="337">
        <v>0</v>
      </c>
      <c r="H154" s="337">
        <v>0</v>
      </c>
      <c r="I154" s="337">
        <v>0</v>
      </c>
      <c r="J154" s="337">
        <v>0</v>
      </c>
      <c r="K154" s="337">
        <v>0</v>
      </c>
      <c r="L154" s="337">
        <v>0</v>
      </c>
      <c r="M154" s="337">
        <v>0</v>
      </c>
      <c r="N154" s="337">
        <v>0</v>
      </c>
      <c r="O154" s="337">
        <v>0</v>
      </c>
      <c r="P154" s="337">
        <f>SUM(D154:O154)</f>
        <v>0</v>
      </c>
      <c r="Q154" s="336" t="str">
        <f>[1]Master!AF26</f>
        <v>GUINEA</v>
      </c>
    </row>
    <row r="155" spans="2:17" ht="15.75" thickBot="1" x14ac:dyDescent="0.3">
      <c r="B155" s="336" t="str">
        <f>[1]Master!AF27</f>
        <v>HAITI</v>
      </c>
      <c r="C155" s="332" t="str">
        <f>[1]Master!AG27</f>
        <v>HA</v>
      </c>
      <c r="D155" s="337">
        <v>0</v>
      </c>
      <c r="E155" s="337">
        <v>0</v>
      </c>
      <c r="F155" s="337">
        <v>0</v>
      </c>
      <c r="G155" s="337">
        <v>0</v>
      </c>
      <c r="H155" s="337">
        <v>0</v>
      </c>
      <c r="I155" s="337">
        <v>0</v>
      </c>
      <c r="J155" s="337">
        <v>0</v>
      </c>
      <c r="K155" s="337">
        <v>0</v>
      </c>
      <c r="L155" s="337">
        <v>0</v>
      </c>
      <c r="M155" s="337">
        <v>0</v>
      </c>
      <c r="N155" s="337">
        <v>0</v>
      </c>
      <c r="O155" s="337">
        <v>0</v>
      </c>
      <c r="P155" s="337">
        <f>SUM(D155:O155)</f>
        <v>0</v>
      </c>
      <c r="Q155" s="336" t="str">
        <f>[1]Master!AF27</f>
        <v>HAITI</v>
      </c>
    </row>
    <row r="156" spans="2:17" ht="15.75" thickBot="1" x14ac:dyDescent="0.3">
      <c r="B156" s="336" t="str">
        <f>[1]Master!AF28</f>
        <v>INDIA</v>
      </c>
      <c r="C156" s="332" t="str">
        <f>[1]Master!AG28</f>
        <v>IN</v>
      </c>
      <c r="D156" s="337">
        <v>0</v>
      </c>
      <c r="E156" s="337">
        <v>0</v>
      </c>
      <c r="F156" s="337">
        <v>0</v>
      </c>
      <c r="G156" s="337">
        <v>0</v>
      </c>
      <c r="H156" s="337">
        <v>0</v>
      </c>
      <c r="I156" s="337">
        <v>0</v>
      </c>
      <c r="J156" s="337">
        <v>0</v>
      </c>
      <c r="K156" s="337">
        <v>0</v>
      </c>
      <c r="L156" s="337">
        <v>0</v>
      </c>
      <c r="M156" s="337">
        <v>0</v>
      </c>
      <c r="N156" s="337">
        <v>0</v>
      </c>
      <c r="O156" s="337">
        <v>0</v>
      </c>
      <c r="P156" s="337">
        <f>SUM(D156:O156)</f>
        <v>0</v>
      </c>
      <c r="Q156" s="336" t="str">
        <f>[1]Master!AF28</f>
        <v>INDIA</v>
      </c>
    </row>
    <row r="157" spans="2:17" ht="15.75" thickBot="1" x14ac:dyDescent="0.3">
      <c r="B157" s="336" t="str">
        <f>[1]Master!AF29</f>
        <v>INDONESIA</v>
      </c>
      <c r="C157" s="332" t="str">
        <f>[1]Master!AG29</f>
        <v>ID</v>
      </c>
      <c r="D157" s="337">
        <v>0</v>
      </c>
      <c r="E157" s="337">
        <v>0</v>
      </c>
      <c r="F157" s="337">
        <v>0</v>
      </c>
      <c r="G157" s="337">
        <v>0</v>
      </c>
      <c r="H157" s="337">
        <v>0</v>
      </c>
      <c r="I157" s="337">
        <v>0</v>
      </c>
      <c r="J157" s="337">
        <v>0</v>
      </c>
      <c r="K157" s="337">
        <v>0</v>
      </c>
      <c r="L157" s="337">
        <v>0</v>
      </c>
      <c r="M157" s="337">
        <v>0</v>
      </c>
      <c r="N157" s="337">
        <v>0</v>
      </c>
      <c r="O157" s="337">
        <v>0</v>
      </c>
      <c r="P157" s="337">
        <f>SUM(D157:O157)</f>
        <v>0</v>
      </c>
      <c r="Q157" s="336" t="str">
        <f>[1]Master!AF29</f>
        <v>INDONESIA</v>
      </c>
    </row>
    <row r="158" spans="2:17" ht="15.75" thickBot="1" x14ac:dyDescent="0.3">
      <c r="B158" s="336" t="str">
        <f>[1]Master!AF30</f>
        <v>IRAN</v>
      </c>
      <c r="C158" s="332" t="str">
        <f>[1]Master!AG30</f>
        <v>IR</v>
      </c>
      <c r="D158" s="337">
        <v>0</v>
      </c>
      <c r="E158" s="337">
        <v>0</v>
      </c>
      <c r="F158" s="337">
        <v>0</v>
      </c>
      <c r="G158" s="337">
        <v>0</v>
      </c>
      <c r="H158" s="337">
        <v>0</v>
      </c>
      <c r="I158" s="337">
        <v>0</v>
      </c>
      <c r="J158" s="337">
        <v>0</v>
      </c>
      <c r="K158" s="337">
        <v>0</v>
      </c>
      <c r="L158" s="337">
        <v>0</v>
      </c>
      <c r="M158" s="337">
        <v>0</v>
      </c>
      <c r="N158" s="337">
        <v>0</v>
      </c>
      <c r="O158" s="337">
        <v>0</v>
      </c>
      <c r="P158" s="337">
        <f>SUM(D158:O158)</f>
        <v>0</v>
      </c>
      <c r="Q158" s="336" t="str">
        <f>[1]Master!AF30</f>
        <v>IRAN</v>
      </c>
    </row>
    <row r="159" spans="2:17" ht="15.75" thickBot="1" x14ac:dyDescent="0.3">
      <c r="B159" s="336" t="str">
        <f>[1]Master!AF31</f>
        <v>IRAQ</v>
      </c>
      <c r="C159" s="332" t="str">
        <f>[1]Master!AG31</f>
        <v>IZ</v>
      </c>
      <c r="D159" s="337">
        <v>0</v>
      </c>
      <c r="E159" s="337">
        <v>0</v>
      </c>
      <c r="F159" s="337">
        <v>0</v>
      </c>
      <c r="G159" s="337">
        <v>0</v>
      </c>
      <c r="H159" s="337">
        <v>0</v>
      </c>
      <c r="I159" s="337">
        <v>0</v>
      </c>
      <c r="J159" s="337">
        <v>0</v>
      </c>
      <c r="K159" s="337">
        <v>0</v>
      </c>
      <c r="L159" s="337">
        <v>0</v>
      </c>
      <c r="M159" s="337">
        <v>3</v>
      </c>
      <c r="N159" s="337">
        <v>0</v>
      </c>
      <c r="O159" s="337">
        <v>0</v>
      </c>
      <c r="P159" s="337">
        <f>SUM(D159:O159)</f>
        <v>3</v>
      </c>
      <c r="Q159" s="336" t="str">
        <f>[1]Master!AF31</f>
        <v>IRAQ</v>
      </c>
    </row>
    <row r="160" spans="2:17" ht="15.75" thickBot="1" x14ac:dyDescent="0.3">
      <c r="B160" s="336" t="str">
        <f>[1]Master!AF32</f>
        <v>IVORY COAST</v>
      </c>
      <c r="C160" s="332" t="str">
        <f>[1]Master!AG32</f>
        <v>IV</v>
      </c>
      <c r="D160" s="337">
        <v>0</v>
      </c>
      <c r="E160" s="337">
        <v>0</v>
      </c>
      <c r="F160" s="337">
        <v>0</v>
      </c>
      <c r="G160" s="337">
        <v>0</v>
      </c>
      <c r="H160" s="337">
        <v>0</v>
      </c>
      <c r="I160" s="337">
        <v>0</v>
      </c>
      <c r="J160" s="337">
        <v>0</v>
      </c>
      <c r="K160" s="337">
        <v>0</v>
      </c>
      <c r="L160" s="337">
        <v>0</v>
      </c>
      <c r="M160" s="337">
        <v>0</v>
      </c>
      <c r="N160" s="337">
        <v>0</v>
      </c>
      <c r="O160" s="337">
        <v>0</v>
      </c>
      <c r="P160" s="337">
        <f>SUM(D160:O160)</f>
        <v>0</v>
      </c>
      <c r="Q160" s="336" t="str">
        <f>[1]Master!AF32</f>
        <v>IVORY COAST</v>
      </c>
    </row>
    <row r="161" spans="2:17" ht="15.75" thickBot="1" x14ac:dyDescent="0.3">
      <c r="B161" s="336" t="str">
        <f>[1]Master!AF33</f>
        <v>JORDAN</v>
      </c>
      <c r="C161" s="332" t="str">
        <f>[1]Master!AG33</f>
        <v>JO</v>
      </c>
      <c r="D161" s="337">
        <v>0</v>
      </c>
      <c r="E161" s="337">
        <v>0</v>
      </c>
      <c r="F161" s="337">
        <v>0</v>
      </c>
      <c r="G161" s="337">
        <v>0</v>
      </c>
      <c r="H161" s="337">
        <v>0</v>
      </c>
      <c r="I161" s="337">
        <v>0</v>
      </c>
      <c r="J161" s="337">
        <v>0</v>
      </c>
      <c r="K161" s="337">
        <v>0</v>
      </c>
      <c r="L161" s="337">
        <v>0</v>
      </c>
      <c r="M161" s="337">
        <v>0</v>
      </c>
      <c r="N161" s="337">
        <v>0</v>
      </c>
      <c r="O161" s="337">
        <v>0</v>
      </c>
      <c r="P161" s="337">
        <f>SUM(D161:O161)</f>
        <v>0</v>
      </c>
      <c r="Q161" s="336" t="str">
        <f>[1]Master!AF33</f>
        <v>JORDAN</v>
      </c>
    </row>
    <row r="162" spans="2:17" ht="15.75" thickBot="1" x14ac:dyDescent="0.3">
      <c r="B162" s="336" t="str">
        <f>[1]Master!AF34</f>
        <v>KAZAKHSTAN</v>
      </c>
      <c r="C162" s="332" t="str">
        <f>[1]Master!AG34</f>
        <v>KZ</v>
      </c>
      <c r="D162" s="337">
        <v>0</v>
      </c>
      <c r="E162" s="337">
        <v>0</v>
      </c>
      <c r="F162" s="337">
        <v>0</v>
      </c>
      <c r="G162" s="337">
        <v>0</v>
      </c>
      <c r="H162" s="337">
        <v>0</v>
      </c>
      <c r="I162" s="337">
        <v>0</v>
      </c>
      <c r="J162" s="337">
        <v>0</v>
      </c>
      <c r="K162" s="337">
        <v>0</v>
      </c>
      <c r="L162" s="337">
        <v>0</v>
      </c>
      <c r="M162" s="337">
        <v>0</v>
      </c>
      <c r="N162" s="337">
        <v>0</v>
      </c>
      <c r="O162" s="337">
        <v>0</v>
      </c>
      <c r="P162" s="337">
        <f>SUM(D162:O162)</f>
        <v>0</v>
      </c>
      <c r="Q162" s="336" t="str">
        <f>[1]Master!AF34</f>
        <v>KAZAKHSTAN</v>
      </c>
    </row>
    <row r="163" spans="2:17" ht="15.75" thickBot="1" x14ac:dyDescent="0.3">
      <c r="B163" s="336" t="str">
        <f>[1]Master!AF35</f>
        <v>KENYA</v>
      </c>
      <c r="C163" s="332" t="str">
        <f>[1]Master!AG35</f>
        <v>KE</v>
      </c>
      <c r="D163" s="337">
        <v>0</v>
      </c>
      <c r="E163" s="337">
        <v>0</v>
      </c>
      <c r="F163" s="337">
        <v>0</v>
      </c>
      <c r="G163" s="337">
        <v>0</v>
      </c>
      <c r="H163" s="337">
        <v>0</v>
      </c>
      <c r="I163" s="337">
        <v>0</v>
      </c>
      <c r="J163" s="337">
        <v>0</v>
      </c>
      <c r="K163" s="337">
        <v>0</v>
      </c>
      <c r="L163" s="337">
        <v>0</v>
      </c>
      <c r="M163" s="337">
        <v>0</v>
      </c>
      <c r="N163" s="337">
        <v>0</v>
      </c>
      <c r="O163" s="337">
        <v>0</v>
      </c>
      <c r="P163" s="337">
        <f>SUM(D163:O163)</f>
        <v>0</v>
      </c>
      <c r="Q163" s="336" t="str">
        <f>[1]Master!AF35</f>
        <v>KENYA</v>
      </c>
    </row>
    <row r="164" spans="2:17" ht="15.75" thickBot="1" x14ac:dyDescent="0.3">
      <c r="B164" s="336" t="str">
        <f>[1]Master!AF36</f>
        <v>LEBANON</v>
      </c>
      <c r="C164" s="332" t="str">
        <f>[1]Master!AG36</f>
        <v>LE</v>
      </c>
      <c r="D164" s="337">
        <v>0</v>
      </c>
      <c r="E164" s="337">
        <v>0</v>
      </c>
      <c r="F164" s="337">
        <v>0</v>
      </c>
      <c r="G164" s="337">
        <v>0</v>
      </c>
      <c r="H164" s="337">
        <v>0</v>
      </c>
      <c r="I164" s="337">
        <v>0</v>
      </c>
      <c r="J164" s="337">
        <v>0</v>
      </c>
      <c r="K164" s="337">
        <v>0</v>
      </c>
      <c r="L164" s="337">
        <v>0</v>
      </c>
      <c r="M164" s="337">
        <v>0</v>
      </c>
      <c r="N164" s="337">
        <v>0</v>
      </c>
      <c r="O164" s="337">
        <v>0</v>
      </c>
      <c r="P164" s="337">
        <f>SUM(D164:O164)</f>
        <v>0</v>
      </c>
      <c r="Q164" s="336" t="str">
        <f>[1]Master!AF36</f>
        <v>LEBANON</v>
      </c>
    </row>
    <row r="165" spans="2:17" ht="15.75" thickBot="1" x14ac:dyDescent="0.3">
      <c r="B165" s="336" t="str">
        <f>[1]Master!AF37</f>
        <v>LIBERIA</v>
      </c>
      <c r="C165" s="332" t="str">
        <f>[1]Master!AG37</f>
        <v>LI</v>
      </c>
      <c r="D165" s="337">
        <v>0</v>
      </c>
      <c r="E165" s="337">
        <v>0</v>
      </c>
      <c r="F165" s="337">
        <v>0</v>
      </c>
      <c r="G165" s="337">
        <v>0</v>
      </c>
      <c r="H165" s="337">
        <v>0</v>
      </c>
      <c r="I165" s="337">
        <v>0</v>
      </c>
      <c r="J165" s="337">
        <v>0</v>
      </c>
      <c r="K165" s="337">
        <v>0</v>
      </c>
      <c r="L165" s="337">
        <v>0</v>
      </c>
      <c r="M165" s="337">
        <v>0</v>
      </c>
      <c r="N165" s="337">
        <v>0</v>
      </c>
      <c r="O165" s="337">
        <v>0</v>
      </c>
      <c r="P165" s="337">
        <f>SUM(D165:O165)</f>
        <v>0</v>
      </c>
      <c r="Q165" s="336" t="str">
        <f>[1]Master!AF37</f>
        <v>LIBERIA</v>
      </c>
    </row>
    <row r="166" spans="2:17" ht="15.75" thickBot="1" x14ac:dyDescent="0.3">
      <c r="B166" s="336" t="str">
        <f>[1]Master!AF38</f>
        <v>LIBYA</v>
      </c>
      <c r="C166" s="332" t="str">
        <f>[1]Master!AG38</f>
        <v>LY</v>
      </c>
      <c r="D166" s="337">
        <v>0</v>
      </c>
      <c r="E166" s="337">
        <v>0</v>
      </c>
      <c r="F166" s="337">
        <v>0</v>
      </c>
      <c r="G166" s="337">
        <v>0</v>
      </c>
      <c r="H166" s="337">
        <v>0</v>
      </c>
      <c r="I166" s="337">
        <v>0</v>
      </c>
      <c r="J166" s="337">
        <v>0</v>
      </c>
      <c r="K166" s="337">
        <v>0</v>
      </c>
      <c r="L166" s="337">
        <v>0</v>
      </c>
      <c r="M166" s="337">
        <v>0</v>
      </c>
      <c r="N166" s="337">
        <v>0</v>
      </c>
      <c r="O166" s="337">
        <v>0</v>
      </c>
      <c r="P166" s="337">
        <f>SUM(D166:O166)</f>
        <v>0</v>
      </c>
      <c r="Q166" s="336" t="str">
        <f>[1]Master!AF38</f>
        <v>LIBYA</v>
      </c>
    </row>
    <row r="167" spans="2:17" ht="15.75" thickBot="1" x14ac:dyDescent="0.3">
      <c r="B167" s="336" t="str">
        <f>[1]Master!AF39</f>
        <v>MOLDOVA</v>
      </c>
      <c r="C167" s="332" t="str">
        <f>[1]Master!AG39</f>
        <v>MD</v>
      </c>
      <c r="D167" s="337">
        <v>0</v>
      </c>
      <c r="E167" s="337">
        <v>0</v>
      </c>
      <c r="F167" s="337">
        <v>0</v>
      </c>
      <c r="G167" s="337">
        <v>0</v>
      </c>
      <c r="H167" s="337">
        <v>0</v>
      </c>
      <c r="I167" s="337">
        <v>0</v>
      </c>
      <c r="J167" s="337">
        <v>0</v>
      </c>
      <c r="K167" s="337">
        <v>0</v>
      </c>
      <c r="L167" s="337">
        <v>0</v>
      </c>
      <c r="M167" s="337">
        <v>0</v>
      </c>
      <c r="N167" s="337">
        <v>0</v>
      </c>
      <c r="O167" s="337">
        <v>0</v>
      </c>
      <c r="P167" s="337">
        <f>SUM(D167:O167)</f>
        <v>0</v>
      </c>
      <c r="Q167" s="336" t="str">
        <f>[1]Master!AF39</f>
        <v>MOLDOVA</v>
      </c>
    </row>
    <row r="168" spans="2:17" ht="15.75" thickBot="1" x14ac:dyDescent="0.3">
      <c r="B168" s="336" t="str">
        <f>[1]Master!AF40</f>
        <v>MALI</v>
      </c>
      <c r="C168" s="332" t="str">
        <f>[1]Master!AG40</f>
        <v>ML</v>
      </c>
      <c r="D168" s="337">
        <v>0</v>
      </c>
      <c r="E168" s="337">
        <v>0</v>
      </c>
      <c r="F168" s="337">
        <v>0</v>
      </c>
      <c r="G168" s="337">
        <v>0</v>
      </c>
      <c r="H168" s="337">
        <v>0</v>
      </c>
      <c r="I168" s="337">
        <v>0</v>
      </c>
      <c r="J168" s="337">
        <v>0</v>
      </c>
      <c r="K168" s="337">
        <v>0</v>
      </c>
      <c r="L168" s="337">
        <v>0</v>
      </c>
      <c r="M168" s="337">
        <v>0</v>
      </c>
      <c r="N168" s="337">
        <v>0</v>
      </c>
      <c r="O168" s="337">
        <v>0</v>
      </c>
      <c r="P168" s="337">
        <f>SUM(D168:O168)</f>
        <v>0</v>
      </c>
      <c r="Q168" s="336" t="str">
        <f>[1]Master!AF40</f>
        <v>MALI</v>
      </c>
    </row>
    <row r="169" spans="2:17" ht="15.75" thickBot="1" x14ac:dyDescent="0.3">
      <c r="B169" s="336" t="str">
        <f>[1]Master!AF41</f>
        <v>MALAYSIA</v>
      </c>
      <c r="C169" s="332" t="str">
        <f>[1]Master!AG41</f>
        <v>MY</v>
      </c>
      <c r="D169" s="337">
        <v>0</v>
      </c>
      <c r="E169" s="337">
        <v>0</v>
      </c>
      <c r="F169" s="337">
        <v>0</v>
      </c>
      <c r="G169" s="337">
        <v>0</v>
      </c>
      <c r="H169" s="337">
        <v>0</v>
      </c>
      <c r="I169" s="337">
        <v>0</v>
      </c>
      <c r="J169" s="337">
        <v>0</v>
      </c>
      <c r="K169" s="337">
        <v>0</v>
      </c>
      <c r="L169" s="337">
        <v>0</v>
      </c>
      <c r="M169" s="337">
        <v>0</v>
      </c>
      <c r="N169" s="337">
        <v>0</v>
      </c>
      <c r="O169" s="337">
        <v>0</v>
      </c>
      <c r="P169" s="337">
        <f>SUM(D169:O169)</f>
        <v>0</v>
      </c>
      <c r="Q169" s="336" t="str">
        <f>[1]Master!AF41</f>
        <v>MALAYSIA</v>
      </c>
    </row>
    <row r="170" spans="2:17" ht="15.75" thickBot="1" x14ac:dyDescent="0.3">
      <c r="B170" s="336" t="str">
        <f>[1]Master!AF42</f>
        <v>NAMIBIA</v>
      </c>
      <c r="C170" s="332" t="str">
        <f>[1]Master!AG42</f>
        <v>WA</v>
      </c>
      <c r="D170" s="337">
        <v>0</v>
      </c>
      <c r="E170" s="337">
        <v>0</v>
      </c>
      <c r="F170" s="337">
        <v>0</v>
      </c>
      <c r="G170" s="337">
        <v>0</v>
      </c>
      <c r="H170" s="337">
        <v>0</v>
      </c>
      <c r="I170" s="337">
        <v>0</v>
      </c>
      <c r="J170" s="337">
        <v>0</v>
      </c>
      <c r="K170" s="337">
        <v>0</v>
      </c>
      <c r="L170" s="337">
        <v>0</v>
      </c>
      <c r="M170" s="337">
        <v>0</v>
      </c>
      <c r="N170" s="337">
        <v>0</v>
      </c>
      <c r="O170" s="337">
        <v>0</v>
      </c>
      <c r="P170" s="337">
        <f>SUM(D170:O170)</f>
        <v>0</v>
      </c>
      <c r="Q170" s="336" t="str">
        <f>[1]Master!AF42</f>
        <v>NAMIBIA</v>
      </c>
    </row>
    <row r="171" spans="2:17" ht="15.75" thickBot="1" x14ac:dyDescent="0.3">
      <c r="B171" s="336" t="str">
        <f>[1]Master!AF43</f>
        <v>NEPAL</v>
      </c>
      <c r="C171" s="332" t="str">
        <f>[1]Master!AG43</f>
        <v>NP</v>
      </c>
      <c r="D171" s="337">
        <v>0</v>
      </c>
      <c r="E171" s="337">
        <v>0</v>
      </c>
      <c r="F171" s="337">
        <v>0</v>
      </c>
      <c r="G171" s="337">
        <v>0</v>
      </c>
      <c r="H171" s="337">
        <v>0</v>
      </c>
      <c r="I171" s="337">
        <v>0</v>
      </c>
      <c r="J171" s="337">
        <v>0</v>
      </c>
      <c r="K171" s="337">
        <v>0</v>
      </c>
      <c r="L171" s="337">
        <v>0</v>
      </c>
      <c r="M171" s="337">
        <v>0</v>
      </c>
      <c r="N171" s="337">
        <v>0</v>
      </c>
      <c r="O171" s="337">
        <v>0</v>
      </c>
      <c r="P171" s="337">
        <f>SUM(D171:O171)</f>
        <v>0</v>
      </c>
      <c r="Q171" s="336" t="str">
        <f>[1]Master!AF43</f>
        <v>NEPAL</v>
      </c>
    </row>
    <row r="172" spans="2:17" ht="15.75" thickBot="1" x14ac:dyDescent="0.3">
      <c r="B172" s="336" t="str">
        <f>[1]Master!AF44</f>
        <v>NIGERIA</v>
      </c>
      <c r="C172" s="332" t="str">
        <f>[1]Master!AG44</f>
        <v>NI</v>
      </c>
      <c r="D172" s="337">
        <v>0</v>
      </c>
      <c r="E172" s="337">
        <v>0</v>
      </c>
      <c r="F172" s="337">
        <v>0</v>
      </c>
      <c r="G172" s="337">
        <v>0</v>
      </c>
      <c r="H172" s="337">
        <v>0</v>
      </c>
      <c r="I172" s="337">
        <v>0</v>
      </c>
      <c r="J172" s="337">
        <v>0</v>
      </c>
      <c r="K172" s="337">
        <v>0</v>
      </c>
      <c r="L172" s="337">
        <v>0</v>
      </c>
      <c r="M172" s="337">
        <v>0</v>
      </c>
      <c r="N172" s="337">
        <v>0</v>
      </c>
      <c r="O172" s="337">
        <v>0</v>
      </c>
      <c r="P172" s="337">
        <f>SUM(D172:O172)</f>
        <v>0</v>
      </c>
      <c r="Q172" s="336" t="str">
        <f>[1]Master!AF44</f>
        <v>NIGERIA</v>
      </c>
    </row>
    <row r="173" spans="2:17" ht="15.75" thickBot="1" x14ac:dyDescent="0.3">
      <c r="B173" s="336" t="str">
        <f>[1]Master!AF45</f>
        <v>PAKISTAN</v>
      </c>
      <c r="C173" s="332" t="str">
        <f>[1]Master!AG45</f>
        <v>PK</v>
      </c>
      <c r="D173" s="337">
        <v>0</v>
      </c>
      <c r="E173" s="337">
        <v>0</v>
      </c>
      <c r="F173" s="337">
        <v>0</v>
      </c>
      <c r="G173" s="337">
        <v>0</v>
      </c>
      <c r="H173" s="337">
        <v>0</v>
      </c>
      <c r="I173" s="337">
        <v>0</v>
      </c>
      <c r="J173" s="337">
        <v>0</v>
      </c>
      <c r="K173" s="337">
        <v>0</v>
      </c>
      <c r="L173" s="337">
        <v>0</v>
      </c>
      <c r="M173" s="337">
        <v>0</v>
      </c>
      <c r="N173" s="337">
        <v>0</v>
      </c>
      <c r="O173" s="337">
        <v>0</v>
      </c>
      <c r="P173" s="337">
        <f>SUM(D173:O173)</f>
        <v>0</v>
      </c>
      <c r="Q173" s="336" t="str">
        <f>[1]Master!AF45</f>
        <v>PAKISTAN</v>
      </c>
    </row>
    <row r="174" spans="2:17" ht="15.75" thickBot="1" x14ac:dyDescent="0.3">
      <c r="B174" s="336" t="str">
        <f>[1]Master!AF46</f>
        <v>PITCAIRN ISLANDS</v>
      </c>
      <c r="C174" s="332" t="str">
        <f>[1]Master!AG46</f>
        <v>PN</v>
      </c>
      <c r="D174" s="337">
        <v>0</v>
      </c>
      <c r="E174" s="337">
        <v>0</v>
      </c>
      <c r="F174" s="337">
        <v>0</v>
      </c>
      <c r="G174" s="337">
        <v>0</v>
      </c>
      <c r="H174" s="337">
        <v>0</v>
      </c>
      <c r="I174" s="337">
        <v>0</v>
      </c>
      <c r="J174" s="337">
        <v>0</v>
      </c>
      <c r="K174" s="337">
        <v>0</v>
      </c>
      <c r="L174" s="337">
        <v>0</v>
      </c>
      <c r="M174" s="337">
        <v>0</v>
      </c>
      <c r="N174" s="337">
        <v>0</v>
      </c>
      <c r="O174" s="337">
        <v>0</v>
      </c>
      <c r="P174" s="337">
        <f>SUM(D174:O174)</f>
        <v>0</v>
      </c>
      <c r="Q174" s="336" t="str">
        <f>[1]Master!AF46</f>
        <v>PITCAIRN ISLANDS</v>
      </c>
    </row>
    <row r="175" spans="2:17" ht="15.75" thickBot="1" x14ac:dyDescent="0.3">
      <c r="B175" s="336" t="str">
        <f>[1]Master!AF47</f>
        <v>RWANDA</v>
      </c>
      <c r="C175" s="332" t="str">
        <f>[1]Master!AG47</f>
        <v>RW</v>
      </c>
      <c r="D175" s="337">
        <v>0</v>
      </c>
      <c r="E175" s="337">
        <v>0</v>
      </c>
      <c r="F175" s="337">
        <v>0</v>
      </c>
      <c r="G175" s="337">
        <v>0</v>
      </c>
      <c r="H175" s="337">
        <v>0</v>
      </c>
      <c r="I175" s="337">
        <v>0</v>
      </c>
      <c r="J175" s="337">
        <v>0</v>
      </c>
      <c r="K175" s="337">
        <v>0</v>
      </c>
      <c r="L175" s="337">
        <v>0</v>
      </c>
      <c r="M175" s="337">
        <v>0</v>
      </c>
      <c r="N175" s="337">
        <v>0</v>
      </c>
      <c r="O175" s="337">
        <v>0</v>
      </c>
      <c r="P175" s="337">
        <f>SUM(D175:O175)</f>
        <v>0</v>
      </c>
      <c r="Q175" s="336" t="str">
        <f>[1]Master!AF47</f>
        <v>RWANDA</v>
      </c>
    </row>
    <row r="176" spans="2:17" ht="15.75" thickBot="1" x14ac:dyDescent="0.3">
      <c r="B176" s="336" t="str">
        <f>[1]Master!AF48</f>
        <v>RUSSIA</v>
      </c>
      <c r="C176" s="332" t="str">
        <f>[1]Master!AG48</f>
        <v>RS</v>
      </c>
      <c r="D176" s="337">
        <v>0</v>
      </c>
      <c r="E176" s="337">
        <v>0</v>
      </c>
      <c r="F176" s="337">
        <v>0</v>
      </c>
      <c r="G176" s="337">
        <v>0</v>
      </c>
      <c r="H176" s="337">
        <v>0</v>
      </c>
      <c r="I176" s="337">
        <v>0</v>
      </c>
      <c r="J176" s="337">
        <v>0</v>
      </c>
      <c r="K176" s="337">
        <v>0</v>
      </c>
      <c r="L176" s="337">
        <v>0</v>
      </c>
      <c r="M176" s="337">
        <v>0</v>
      </c>
      <c r="N176" s="337">
        <v>0</v>
      </c>
      <c r="O176" s="337">
        <v>0</v>
      </c>
      <c r="P176" s="337">
        <f>SUM(D176:O176)</f>
        <v>0</v>
      </c>
      <c r="Q176" s="336" t="str">
        <f>[1]Master!AF48</f>
        <v>RUSSIA</v>
      </c>
    </row>
    <row r="177" spans="2:17" ht="15.75" thickBot="1" x14ac:dyDescent="0.3">
      <c r="B177" s="336" t="str">
        <f>[1]Master!AF49</f>
        <v>SIERRA LEON</v>
      </c>
      <c r="C177" s="332" t="str">
        <f>[1]Master!AG49</f>
        <v>SL</v>
      </c>
      <c r="D177" s="337">
        <v>0</v>
      </c>
      <c r="E177" s="337">
        <v>0</v>
      </c>
      <c r="F177" s="337">
        <v>0</v>
      </c>
      <c r="G177" s="337">
        <v>0</v>
      </c>
      <c r="H177" s="337">
        <v>0</v>
      </c>
      <c r="I177" s="337">
        <v>0</v>
      </c>
      <c r="J177" s="337">
        <v>0</v>
      </c>
      <c r="K177" s="337">
        <v>0</v>
      </c>
      <c r="L177" s="337">
        <v>0</v>
      </c>
      <c r="M177" s="337">
        <v>0</v>
      </c>
      <c r="N177" s="337">
        <v>0</v>
      </c>
      <c r="O177" s="337">
        <v>0</v>
      </c>
      <c r="P177" s="337">
        <f>SUM(D177:O177)</f>
        <v>0</v>
      </c>
      <c r="Q177" s="336" t="str">
        <f>[1]Master!AF49</f>
        <v>SIERRA LEON</v>
      </c>
    </row>
    <row r="178" spans="2:17" ht="15.75" thickBot="1" x14ac:dyDescent="0.3">
      <c r="B178" s="336" t="str">
        <f>[1]Master!AF50</f>
        <v>SOMALIA</v>
      </c>
      <c r="C178" s="332" t="str">
        <f>[1]Master!AG50</f>
        <v>SO</v>
      </c>
      <c r="D178" s="337">
        <v>0</v>
      </c>
      <c r="E178" s="337">
        <v>0</v>
      </c>
      <c r="F178" s="337">
        <v>0</v>
      </c>
      <c r="G178" s="337">
        <v>0</v>
      </c>
      <c r="H178" s="337">
        <v>0</v>
      </c>
      <c r="I178" s="337">
        <v>0</v>
      </c>
      <c r="J178" s="337">
        <v>0</v>
      </c>
      <c r="K178" s="337">
        <v>0</v>
      </c>
      <c r="L178" s="337">
        <v>0</v>
      </c>
      <c r="M178" s="337">
        <v>0</v>
      </c>
      <c r="N178" s="337">
        <v>0</v>
      </c>
      <c r="O178" s="337">
        <v>0</v>
      </c>
      <c r="P178" s="337">
        <f>SUM(D178:O178)</f>
        <v>0</v>
      </c>
      <c r="Q178" s="336" t="str">
        <f>[1]Master!AF50</f>
        <v>SOMALIA</v>
      </c>
    </row>
    <row r="179" spans="2:17" ht="15.75" thickBot="1" x14ac:dyDescent="0.3">
      <c r="B179" s="336" t="str">
        <f>[1]Master!AF51</f>
        <v>SPAIN</v>
      </c>
      <c r="C179" s="332" t="str">
        <f>[1]Master!AG51</f>
        <v>ES</v>
      </c>
      <c r="D179" s="337">
        <v>0</v>
      </c>
      <c r="E179" s="337">
        <v>0</v>
      </c>
      <c r="F179" s="337">
        <v>0</v>
      </c>
      <c r="G179" s="337">
        <v>0</v>
      </c>
      <c r="H179" s="337">
        <v>0</v>
      </c>
      <c r="I179" s="337">
        <v>0</v>
      </c>
      <c r="J179" s="337">
        <v>0</v>
      </c>
      <c r="K179" s="337">
        <v>0</v>
      </c>
      <c r="L179" s="337">
        <v>0</v>
      </c>
      <c r="M179" s="337">
        <v>0</v>
      </c>
      <c r="N179" s="337">
        <v>0</v>
      </c>
      <c r="O179" s="337">
        <v>0</v>
      </c>
      <c r="P179" s="337">
        <f>SUM(D179:O179)</f>
        <v>0</v>
      </c>
      <c r="Q179" s="336" t="str">
        <f>[1]Master!AF51</f>
        <v>SPAIN</v>
      </c>
    </row>
    <row r="180" spans="2:17" ht="15.75" thickBot="1" x14ac:dyDescent="0.3">
      <c r="B180" s="336" t="str">
        <f>[1]Master!AF52</f>
        <v>SOUTH SUDAN</v>
      </c>
      <c r="C180" s="332" t="str">
        <f>[1]Master!AG52</f>
        <v>SS</v>
      </c>
      <c r="D180" s="337">
        <v>0</v>
      </c>
      <c r="E180" s="337">
        <v>0</v>
      </c>
      <c r="F180" s="337">
        <v>0</v>
      </c>
      <c r="G180" s="337">
        <v>0</v>
      </c>
      <c r="H180" s="337">
        <v>0</v>
      </c>
      <c r="I180" s="337">
        <v>0</v>
      </c>
      <c r="J180" s="337">
        <v>0</v>
      </c>
      <c r="K180" s="337">
        <v>0</v>
      </c>
      <c r="L180" s="337">
        <v>0</v>
      </c>
      <c r="M180" s="337">
        <v>0</v>
      </c>
      <c r="N180" s="337">
        <v>0</v>
      </c>
      <c r="O180" s="337">
        <v>0</v>
      </c>
      <c r="P180" s="337">
        <f>SUM(D180:O180)</f>
        <v>0</v>
      </c>
      <c r="Q180" s="336" t="str">
        <f>[1]Master!AF52</f>
        <v>SOUTH SUDAN</v>
      </c>
    </row>
    <row r="181" spans="2:17" ht="15.75" thickBot="1" x14ac:dyDescent="0.3">
      <c r="B181" s="336" t="str">
        <f>[1]Master!AF53</f>
        <v>SRI LANKA</v>
      </c>
      <c r="C181" s="332" t="str">
        <f>[1]Master!AG53</f>
        <v>CE</v>
      </c>
      <c r="D181" s="337">
        <v>0</v>
      </c>
      <c r="E181" s="337">
        <v>0</v>
      </c>
      <c r="F181" s="337">
        <v>0</v>
      </c>
      <c r="G181" s="337">
        <v>0</v>
      </c>
      <c r="H181" s="337">
        <v>0</v>
      </c>
      <c r="I181" s="337">
        <v>0</v>
      </c>
      <c r="J181" s="337">
        <v>0</v>
      </c>
      <c r="K181" s="337">
        <v>0</v>
      </c>
      <c r="L181" s="337">
        <v>0</v>
      </c>
      <c r="M181" s="337">
        <v>0</v>
      </c>
      <c r="N181" s="337">
        <v>0</v>
      </c>
      <c r="O181" s="337">
        <v>0</v>
      </c>
      <c r="P181" s="337">
        <f>SUM(D181:O181)</f>
        <v>0</v>
      </c>
      <c r="Q181" s="336" t="str">
        <f>[1]Master!AF53</f>
        <v>SRI LANKA</v>
      </c>
    </row>
    <row r="182" spans="2:17" ht="15.75" thickBot="1" x14ac:dyDescent="0.3">
      <c r="B182" s="336" t="str">
        <f>[1]Master!AF54</f>
        <v>SUDAN</v>
      </c>
      <c r="C182" s="332" t="str">
        <f>[1]Master!AG54</f>
        <v>SU</v>
      </c>
      <c r="D182" s="337">
        <v>0</v>
      </c>
      <c r="E182" s="337">
        <v>0</v>
      </c>
      <c r="F182" s="337">
        <v>0</v>
      </c>
      <c r="G182" s="337">
        <v>0</v>
      </c>
      <c r="H182" s="337">
        <v>0</v>
      </c>
      <c r="I182" s="337">
        <v>0</v>
      </c>
      <c r="J182" s="337">
        <v>0</v>
      </c>
      <c r="K182" s="337">
        <v>0</v>
      </c>
      <c r="L182" s="337">
        <v>0</v>
      </c>
      <c r="M182" s="337">
        <v>0</v>
      </c>
      <c r="N182" s="337">
        <v>0</v>
      </c>
      <c r="O182" s="337">
        <v>0</v>
      </c>
      <c r="P182" s="337">
        <f>SUM(D182:O182)</f>
        <v>0</v>
      </c>
      <c r="Q182" s="336" t="str">
        <f>[1]Master!AF54</f>
        <v>SUDAN</v>
      </c>
    </row>
    <row r="183" spans="2:17" ht="15.75" thickBot="1" x14ac:dyDescent="0.3">
      <c r="B183" s="336" t="str">
        <f>[1]Master!AF55</f>
        <v>SYRIA</v>
      </c>
      <c r="C183" s="332" t="str">
        <f>[1]Master!AG55</f>
        <v>SY</v>
      </c>
      <c r="D183" s="337">
        <v>0</v>
      </c>
      <c r="E183" s="337">
        <v>0</v>
      </c>
      <c r="F183" s="337">
        <v>0</v>
      </c>
      <c r="G183" s="337">
        <v>0</v>
      </c>
      <c r="H183" s="337">
        <v>0</v>
      </c>
      <c r="I183" s="337">
        <v>0</v>
      </c>
      <c r="J183" s="337">
        <v>0</v>
      </c>
      <c r="K183" s="337">
        <v>0</v>
      </c>
      <c r="L183" s="337">
        <v>0</v>
      </c>
      <c r="M183" s="337">
        <v>0</v>
      </c>
      <c r="N183" s="337">
        <v>0</v>
      </c>
      <c r="O183" s="337">
        <v>0</v>
      </c>
      <c r="P183" s="337">
        <f>SUM(D183:O183)</f>
        <v>0</v>
      </c>
      <c r="Q183" s="336" t="str">
        <f>[1]Master!AF55</f>
        <v>SYRIA</v>
      </c>
    </row>
    <row r="184" spans="2:17" ht="15.75" thickBot="1" x14ac:dyDescent="0.3">
      <c r="B184" s="336" t="str">
        <f>[1]Master!AF56</f>
        <v>TAJIKISTAN</v>
      </c>
      <c r="C184" s="332" t="str">
        <f>[1]Master!AG56</f>
        <v>TI</v>
      </c>
      <c r="D184" s="337">
        <v>0</v>
      </c>
      <c r="E184" s="337">
        <v>0</v>
      </c>
      <c r="F184" s="337">
        <v>0</v>
      </c>
      <c r="G184" s="337">
        <v>0</v>
      </c>
      <c r="H184" s="337">
        <v>0</v>
      </c>
      <c r="I184" s="337">
        <v>0</v>
      </c>
      <c r="J184" s="337">
        <v>0</v>
      </c>
      <c r="K184" s="337">
        <v>0</v>
      </c>
      <c r="L184" s="337">
        <v>0</v>
      </c>
      <c r="M184" s="337">
        <v>0</v>
      </c>
      <c r="N184" s="337">
        <v>0</v>
      </c>
      <c r="O184" s="337">
        <v>0</v>
      </c>
      <c r="P184" s="337">
        <f>SUM(D184:O184)</f>
        <v>0</v>
      </c>
      <c r="Q184" s="336" t="str">
        <f>[1]Master!AF56</f>
        <v>TAJIKISTAN</v>
      </c>
    </row>
    <row r="185" spans="2:17" ht="15.75" thickBot="1" x14ac:dyDescent="0.3">
      <c r="B185" s="336" t="str">
        <f>[1]Master!AF57</f>
        <v>TANZANIA</v>
      </c>
      <c r="C185" s="332" t="str">
        <f>[1]Master!AG57</f>
        <v>TZ</v>
      </c>
      <c r="D185" s="337">
        <v>0</v>
      </c>
      <c r="E185" s="337">
        <v>0</v>
      </c>
      <c r="F185" s="337">
        <v>0</v>
      </c>
      <c r="G185" s="337">
        <v>0</v>
      </c>
      <c r="H185" s="337">
        <v>0</v>
      </c>
      <c r="I185" s="337">
        <v>0</v>
      </c>
      <c r="J185" s="337">
        <v>0</v>
      </c>
      <c r="K185" s="337">
        <v>0</v>
      </c>
      <c r="L185" s="337">
        <v>0</v>
      </c>
      <c r="M185" s="337">
        <v>0</v>
      </c>
      <c r="N185" s="337">
        <v>0</v>
      </c>
      <c r="O185" s="337">
        <v>0</v>
      </c>
      <c r="P185" s="337">
        <f>SUM(D185:O185)</f>
        <v>0</v>
      </c>
      <c r="Q185" s="336" t="str">
        <f>[1]Master!AF57</f>
        <v>TANZANIA</v>
      </c>
    </row>
    <row r="186" spans="2:17" ht="15.75" thickBot="1" x14ac:dyDescent="0.3">
      <c r="B186" s="336" t="str">
        <f>[1]Master!AF58</f>
        <v>THAILAND</v>
      </c>
      <c r="C186" s="332" t="str">
        <f>[1]Master!AG58</f>
        <v>TH</v>
      </c>
      <c r="D186" s="337">
        <v>0</v>
      </c>
      <c r="E186" s="337">
        <v>0</v>
      </c>
      <c r="F186" s="337">
        <v>0</v>
      </c>
      <c r="G186" s="337">
        <v>0</v>
      </c>
      <c r="H186" s="337">
        <v>0</v>
      </c>
      <c r="I186" s="337">
        <v>0</v>
      </c>
      <c r="J186" s="337">
        <v>0</v>
      </c>
      <c r="K186" s="337">
        <v>0</v>
      </c>
      <c r="L186" s="337">
        <v>0</v>
      </c>
      <c r="M186" s="337">
        <v>0</v>
      </c>
      <c r="N186" s="337">
        <v>0</v>
      </c>
      <c r="O186" s="337">
        <v>0</v>
      </c>
      <c r="P186" s="337">
        <f>SUM(D186:O186)</f>
        <v>0</v>
      </c>
      <c r="Q186" s="336" t="str">
        <f>[1]Master!AF58</f>
        <v>THAILAND</v>
      </c>
    </row>
    <row r="187" spans="2:17" ht="15.75" thickBot="1" x14ac:dyDescent="0.3">
      <c r="B187" s="336" t="str">
        <f>[1]Master!AF59</f>
        <v>UGANDA</v>
      </c>
      <c r="C187" s="332" t="str">
        <f>[1]Master!AG59</f>
        <v>UG</v>
      </c>
      <c r="D187" s="337">
        <v>0</v>
      </c>
      <c r="E187" s="337">
        <v>0</v>
      </c>
      <c r="F187" s="337">
        <v>0</v>
      </c>
      <c r="G187" s="337">
        <v>0</v>
      </c>
      <c r="H187" s="337">
        <v>0</v>
      </c>
      <c r="I187" s="337">
        <v>0</v>
      </c>
      <c r="J187" s="337">
        <v>0</v>
      </c>
      <c r="K187" s="337">
        <v>0</v>
      </c>
      <c r="L187" s="337">
        <v>0</v>
      </c>
      <c r="M187" s="337">
        <v>0</v>
      </c>
      <c r="N187" s="337">
        <v>0</v>
      </c>
      <c r="O187" s="337">
        <v>0</v>
      </c>
      <c r="P187" s="337">
        <f>SUM(D187:O187)</f>
        <v>0</v>
      </c>
      <c r="Q187" s="336" t="str">
        <f>[1]Master!AF59</f>
        <v>UGANDA</v>
      </c>
    </row>
    <row r="188" spans="2:17" ht="15.75" thickBot="1" x14ac:dyDescent="0.3">
      <c r="B188" s="336" t="str">
        <f>[1]Master!AF60</f>
        <v>UKRAINE</v>
      </c>
      <c r="C188" s="332" t="str">
        <f>[1]Master!AG60</f>
        <v>UP</v>
      </c>
      <c r="D188" s="337">
        <v>6</v>
      </c>
      <c r="E188" s="337">
        <v>0</v>
      </c>
      <c r="F188" s="337">
        <v>0</v>
      </c>
      <c r="G188" s="337">
        <v>0</v>
      </c>
      <c r="H188" s="337">
        <v>0</v>
      </c>
      <c r="I188" s="337">
        <v>0</v>
      </c>
      <c r="J188" s="337">
        <v>0</v>
      </c>
      <c r="K188" s="337">
        <v>0</v>
      </c>
      <c r="L188" s="337">
        <v>0</v>
      </c>
      <c r="M188" s="337">
        <v>0</v>
      </c>
      <c r="N188" s="337">
        <v>0</v>
      </c>
      <c r="O188" s="337">
        <v>0</v>
      </c>
      <c r="P188" s="337">
        <f>SUM(D188:O188)</f>
        <v>6</v>
      </c>
      <c r="Q188" s="336" t="str">
        <f>[1]Master!AF60</f>
        <v>UKRAINE</v>
      </c>
    </row>
    <row r="189" spans="2:17" ht="15.75" thickBot="1" x14ac:dyDescent="0.3">
      <c r="B189" s="336" t="str">
        <f>[1]Master!AF61</f>
        <v>UZBEKISTAN</v>
      </c>
      <c r="C189" s="332" t="str">
        <f>[1]Master!AG61</f>
        <v>UZ</v>
      </c>
      <c r="D189" s="337">
        <v>0</v>
      </c>
      <c r="E189" s="337">
        <v>0</v>
      </c>
      <c r="F189" s="337">
        <v>0</v>
      </c>
      <c r="G189" s="337">
        <v>0</v>
      </c>
      <c r="H189" s="337">
        <v>0</v>
      </c>
      <c r="I189" s="337">
        <v>0</v>
      </c>
      <c r="J189" s="337">
        <v>0</v>
      </c>
      <c r="K189" s="337">
        <v>0</v>
      </c>
      <c r="L189" s="337">
        <v>0</v>
      </c>
      <c r="M189" s="337">
        <v>0</v>
      </c>
      <c r="N189" s="337">
        <v>0</v>
      </c>
      <c r="O189" s="337">
        <v>0</v>
      </c>
      <c r="P189" s="337">
        <f>SUM(D189:O189)</f>
        <v>0</v>
      </c>
      <c r="Q189" s="336" t="str">
        <f>[1]Master!AF61</f>
        <v>UZBEKISTAN</v>
      </c>
    </row>
    <row r="190" spans="2:17" ht="15.75" thickBot="1" x14ac:dyDescent="0.3">
      <c r="B190" s="336" t="str">
        <f>[1]Master!AF62</f>
        <v>VIETNAM</v>
      </c>
      <c r="C190" s="332" t="str">
        <f>[1]Master!AG62</f>
        <v>VM</v>
      </c>
      <c r="D190" s="337">
        <v>0</v>
      </c>
      <c r="E190" s="337">
        <v>0</v>
      </c>
      <c r="F190" s="337">
        <v>0</v>
      </c>
      <c r="G190" s="337">
        <v>0</v>
      </c>
      <c r="H190" s="337">
        <v>0</v>
      </c>
      <c r="I190" s="337">
        <v>0</v>
      </c>
      <c r="J190" s="337">
        <v>0</v>
      </c>
      <c r="K190" s="337">
        <v>0</v>
      </c>
      <c r="L190" s="337">
        <v>0</v>
      </c>
      <c r="M190" s="337">
        <v>0</v>
      </c>
      <c r="N190" s="337">
        <v>0</v>
      </c>
      <c r="O190" s="337">
        <v>0</v>
      </c>
      <c r="P190" s="337">
        <f>SUM(D190:O190)</f>
        <v>0</v>
      </c>
      <c r="Q190" s="336" t="str">
        <f>[1]Master!AF62</f>
        <v>VIETNAM</v>
      </c>
    </row>
    <row r="191" spans="2:17" ht="15.75" thickBot="1" x14ac:dyDescent="0.3">
      <c r="B191" s="336" t="str">
        <f>[1]Master!AF63</f>
        <v>ZAMBIA</v>
      </c>
      <c r="C191" s="332" t="str">
        <f>[1]Master!AG63</f>
        <v>ZA</v>
      </c>
      <c r="D191" s="337">
        <v>0</v>
      </c>
      <c r="E191" s="337">
        <v>0</v>
      </c>
      <c r="F191" s="337">
        <v>0</v>
      </c>
      <c r="G191" s="337">
        <v>0</v>
      </c>
      <c r="H191" s="337">
        <v>0</v>
      </c>
      <c r="I191" s="337">
        <v>0</v>
      </c>
      <c r="J191" s="337">
        <v>0</v>
      </c>
      <c r="K191" s="337">
        <v>0</v>
      </c>
      <c r="L191" s="337">
        <v>0</v>
      </c>
      <c r="M191" s="337">
        <v>0</v>
      </c>
      <c r="N191" s="337">
        <v>0</v>
      </c>
      <c r="O191" s="337">
        <v>0</v>
      </c>
      <c r="P191" s="337">
        <f>SUM(D191:O191)</f>
        <v>0</v>
      </c>
      <c r="Q191" s="336" t="str">
        <f>[1]Master!AF63</f>
        <v>ZAMBIA</v>
      </c>
    </row>
    <row r="192" spans="2:17" ht="15.75" thickBot="1" x14ac:dyDescent="0.3">
      <c r="B192" s="339" t="s">
        <v>53</v>
      </c>
      <c r="C192" s="340"/>
      <c r="D192" s="341">
        <f>SUM(D133:D191)</f>
        <v>6</v>
      </c>
      <c r="E192" s="341">
        <f>SUM(E133:E191)</f>
        <v>0</v>
      </c>
      <c r="F192" s="341">
        <f>SUM(F133:F191)</f>
        <v>0</v>
      </c>
      <c r="G192" s="341">
        <f>SUM(G133:G191)</f>
        <v>0</v>
      </c>
      <c r="H192" s="341">
        <f>SUM(H133:H191)</f>
        <v>0</v>
      </c>
      <c r="I192" s="341">
        <f>SUM(I133:I191)</f>
        <v>0</v>
      </c>
      <c r="J192" s="341">
        <f>SUM(J133:J191)</f>
        <v>0</v>
      </c>
      <c r="K192" s="341">
        <f>SUM(K133:K191)</f>
        <v>0</v>
      </c>
      <c r="L192" s="341">
        <f>SUM(L133:L191)</f>
        <v>0</v>
      </c>
      <c r="M192" s="341">
        <f>SUM(M133:M191)</f>
        <v>3</v>
      </c>
      <c r="N192" s="341">
        <f>SUM(N133:N191)</f>
        <v>0</v>
      </c>
      <c r="O192" s="341">
        <v>0</v>
      </c>
      <c r="P192" s="341">
        <f>SUM(P133:P191)</f>
        <v>9</v>
      </c>
      <c r="Q192" s="342" t="s">
        <v>53</v>
      </c>
    </row>
    <row r="193" spans="2:17" ht="15.75" thickBot="1" x14ac:dyDescent="0.3"/>
    <row r="194" spans="2:17" ht="15.75" thickBot="1" x14ac:dyDescent="0.3">
      <c r="B194" s="322" t="s">
        <v>5</v>
      </c>
      <c r="C194" s="323"/>
      <c r="D194" s="323" t="s">
        <v>12</v>
      </c>
      <c r="E194" s="323"/>
      <c r="F194" s="323"/>
      <c r="G194" s="323"/>
      <c r="H194" s="323"/>
      <c r="I194" s="323"/>
      <c r="J194" s="323"/>
      <c r="K194" s="323"/>
      <c r="L194" s="323"/>
      <c r="M194" s="323"/>
      <c r="N194" s="323"/>
      <c r="O194" s="323"/>
      <c r="P194" s="323"/>
      <c r="Q194" s="324"/>
    </row>
    <row r="195" spans="2:17" ht="15.75" thickBot="1" x14ac:dyDescent="0.3">
      <c r="B195" s="325"/>
      <c r="C195" s="326"/>
      <c r="D195" s="327" t="s">
        <v>19</v>
      </c>
      <c r="E195" s="327" t="s">
        <v>20</v>
      </c>
      <c r="F195" s="327" t="s">
        <v>21</v>
      </c>
      <c r="G195" s="327" t="s">
        <v>22</v>
      </c>
      <c r="H195" s="327" t="s">
        <v>23</v>
      </c>
      <c r="I195" s="327" t="s">
        <v>24</v>
      </c>
      <c r="J195" s="327" t="s">
        <v>25</v>
      </c>
      <c r="K195" s="327" t="s">
        <v>26</v>
      </c>
      <c r="L195" s="327" t="s">
        <v>27</v>
      </c>
      <c r="M195" s="327" t="s">
        <v>28</v>
      </c>
      <c r="N195" s="327" t="s">
        <v>776</v>
      </c>
      <c r="O195" s="327" t="s">
        <v>30</v>
      </c>
      <c r="P195" s="328" t="s">
        <v>40</v>
      </c>
      <c r="Q195" s="329"/>
    </row>
    <row r="196" spans="2:17" ht="15.75" thickBot="1" x14ac:dyDescent="0.3">
      <c r="B196" s="330"/>
      <c r="C196" s="331"/>
      <c r="D196" s="332">
        <v>10</v>
      </c>
      <c r="E196" s="333">
        <v>11</v>
      </c>
      <c r="F196" s="333">
        <v>12</v>
      </c>
      <c r="G196" s="333">
        <v>1</v>
      </c>
      <c r="H196" s="333">
        <v>2</v>
      </c>
      <c r="I196" s="333">
        <v>3</v>
      </c>
      <c r="J196" s="333">
        <v>4</v>
      </c>
      <c r="K196" s="333">
        <v>5</v>
      </c>
      <c r="L196" s="333">
        <v>6</v>
      </c>
      <c r="M196" s="333">
        <v>7</v>
      </c>
      <c r="N196" s="333">
        <v>8</v>
      </c>
      <c r="O196" s="333">
        <v>9</v>
      </c>
      <c r="P196" s="334"/>
      <c r="Q196" s="335"/>
    </row>
    <row r="197" spans="2:17" ht="15.75" thickBot="1" x14ac:dyDescent="0.3">
      <c r="B197" s="336" t="str">
        <f>[1]Master!AF7</f>
        <v>AFGHANISTAN</v>
      </c>
      <c r="C197" s="332" t="str">
        <f>[1]Master!AG7</f>
        <v>AF</v>
      </c>
      <c r="D197" s="337">
        <v>0</v>
      </c>
      <c r="E197" s="337">
        <v>0</v>
      </c>
      <c r="F197" s="337">
        <v>0</v>
      </c>
      <c r="G197" s="337">
        <v>3</v>
      </c>
      <c r="H197" s="337">
        <v>0</v>
      </c>
      <c r="I197" s="337">
        <v>0</v>
      </c>
      <c r="J197" s="337">
        <v>0</v>
      </c>
      <c r="K197" s="337">
        <v>4</v>
      </c>
      <c r="L197" s="337">
        <v>0</v>
      </c>
      <c r="M197" s="337">
        <v>3</v>
      </c>
      <c r="N197" s="337">
        <v>0</v>
      </c>
      <c r="O197" s="337">
        <v>6</v>
      </c>
      <c r="P197" s="337">
        <f>SUM(D197:O197)</f>
        <v>16</v>
      </c>
      <c r="Q197" s="336" t="str">
        <f>[1]Master!AF7</f>
        <v>AFGHANISTAN</v>
      </c>
    </row>
    <row r="198" spans="2:17" ht="15.75" thickBot="1" x14ac:dyDescent="0.3">
      <c r="B198" s="336" t="str">
        <f>[1]Master!AF8</f>
        <v>ARMENIA</v>
      </c>
      <c r="C198" s="332" t="str">
        <f>[1]Master!AG8</f>
        <v>AM</v>
      </c>
      <c r="D198" s="337">
        <v>0</v>
      </c>
      <c r="E198" s="337">
        <v>0</v>
      </c>
      <c r="F198" s="337">
        <v>0</v>
      </c>
      <c r="G198" s="337">
        <v>0</v>
      </c>
      <c r="H198" s="337">
        <v>0</v>
      </c>
      <c r="I198" s="337">
        <v>0</v>
      </c>
      <c r="J198" s="337">
        <v>0</v>
      </c>
      <c r="K198" s="337">
        <v>0</v>
      </c>
      <c r="L198" s="337">
        <v>0</v>
      </c>
      <c r="M198" s="337">
        <v>0</v>
      </c>
      <c r="N198" s="337">
        <v>0</v>
      </c>
      <c r="O198" s="337">
        <v>0</v>
      </c>
      <c r="P198" s="337">
        <f t="shared" ref="P198:P252" si="3">SUM(D198:O198)</f>
        <v>0</v>
      </c>
      <c r="Q198" s="336" t="str">
        <f>[1]Master!AF8</f>
        <v>ARMENIA</v>
      </c>
    </row>
    <row r="199" spans="2:17" ht="15.75" thickBot="1" x14ac:dyDescent="0.3">
      <c r="B199" s="336" t="s">
        <v>780</v>
      </c>
      <c r="C199" s="332" t="s">
        <v>333</v>
      </c>
      <c r="D199" s="337">
        <v>0</v>
      </c>
      <c r="E199" s="337">
        <v>0</v>
      </c>
      <c r="F199" s="337">
        <v>0</v>
      </c>
      <c r="G199" s="337">
        <v>0</v>
      </c>
      <c r="H199" s="337">
        <v>0</v>
      </c>
      <c r="I199" s="337">
        <v>0</v>
      </c>
      <c r="J199" s="337">
        <v>0</v>
      </c>
      <c r="K199" s="337">
        <v>0</v>
      </c>
      <c r="L199" s="337">
        <v>0</v>
      </c>
      <c r="M199" s="337">
        <v>0</v>
      </c>
      <c r="N199" s="337">
        <v>0</v>
      </c>
      <c r="O199" s="337">
        <v>0</v>
      </c>
      <c r="P199" s="337">
        <v>0</v>
      </c>
      <c r="Q199" s="336" t="s">
        <v>780</v>
      </c>
    </row>
    <row r="200" spans="2:17" ht="15.75" thickBot="1" x14ac:dyDescent="0.3">
      <c r="B200" s="336" t="str">
        <f>[1]Master!AF9</f>
        <v>BELARUS</v>
      </c>
      <c r="C200" s="332" t="str">
        <f>[1]Master!AG9</f>
        <v>BO</v>
      </c>
      <c r="D200" s="337">
        <v>0</v>
      </c>
      <c r="E200" s="337">
        <v>0</v>
      </c>
      <c r="F200" s="337">
        <v>0</v>
      </c>
      <c r="G200" s="337">
        <v>0</v>
      </c>
      <c r="H200" s="337">
        <v>0</v>
      </c>
      <c r="I200" s="337">
        <v>0</v>
      </c>
      <c r="J200" s="337">
        <v>0</v>
      </c>
      <c r="K200" s="337">
        <v>0</v>
      </c>
      <c r="L200" s="337">
        <v>0</v>
      </c>
      <c r="M200" s="337">
        <v>0</v>
      </c>
      <c r="N200" s="337">
        <v>0</v>
      </c>
      <c r="O200" s="337">
        <v>0</v>
      </c>
      <c r="P200" s="337">
        <f>SUM(D200:O200)</f>
        <v>0</v>
      </c>
      <c r="Q200" s="336" t="str">
        <f>[1]Master!AF9</f>
        <v>BELARUS</v>
      </c>
    </row>
    <row r="201" spans="2:17" ht="15.75" thickBot="1" x14ac:dyDescent="0.3">
      <c r="B201" s="336" t="str">
        <f>[1]Master!AF10</f>
        <v>BURMA</v>
      </c>
      <c r="C201" s="332" t="str">
        <f>[1]Master!AG10</f>
        <v>BM</v>
      </c>
      <c r="D201" s="337">
        <v>5</v>
      </c>
      <c r="E201" s="337">
        <v>3</v>
      </c>
      <c r="F201" s="337">
        <v>0</v>
      </c>
      <c r="G201" s="337">
        <v>0</v>
      </c>
      <c r="H201" s="337">
        <v>0</v>
      </c>
      <c r="I201" s="337">
        <v>0</v>
      </c>
      <c r="J201" s="337">
        <v>0</v>
      </c>
      <c r="K201" s="337">
        <v>0</v>
      </c>
      <c r="L201" s="337">
        <v>4</v>
      </c>
      <c r="M201" s="337">
        <v>0</v>
      </c>
      <c r="N201" s="337">
        <v>0</v>
      </c>
      <c r="O201" s="337">
        <v>0</v>
      </c>
      <c r="P201" s="337">
        <f>SUM(D201:O201)</f>
        <v>12</v>
      </c>
      <c r="Q201" s="336" t="str">
        <f>[1]Master!AF10</f>
        <v>BURMA</v>
      </c>
    </row>
    <row r="202" spans="2:17" ht="15.75" thickBot="1" x14ac:dyDescent="0.3">
      <c r="B202" s="336" t="str">
        <f>[1]Master!AF11</f>
        <v>BHUTAN</v>
      </c>
      <c r="C202" s="332" t="str">
        <f>[1]Master!AG11</f>
        <v>BT</v>
      </c>
      <c r="D202" s="337">
        <v>8</v>
      </c>
      <c r="E202" s="337">
        <v>8</v>
      </c>
      <c r="F202" s="337">
        <v>13</v>
      </c>
      <c r="G202" s="337">
        <v>7</v>
      </c>
      <c r="H202" s="337">
        <v>0</v>
      </c>
      <c r="I202" s="337">
        <v>0</v>
      </c>
      <c r="J202" s="337">
        <v>6</v>
      </c>
      <c r="K202" s="337">
        <v>9</v>
      </c>
      <c r="L202" s="337">
        <v>8</v>
      </c>
      <c r="M202" s="337">
        <v>6</v>
      </c>
      <c r="N202" s="337">
        <v>5</v>
      </c>
      <c r="O202" s="337">
        <v>7</v>
      </c>
      <c r="P202" s="337">
        <f>SUM(D202:O202)</f>
        <v>77</v>
      </c>
      <c r="Q202" s="336" t="str">
        <f>[1]Master!AF11</f>
        <v>BHUTAN</v>
      </c>
    </row>
    <row r="203" spans="2:17" ht="15.75" thickBot="1" x14ac:dyDescent="0.3">
      <c r="B203" s="336" t="s">
        <v>779</v>
      </c>
      <c r="C203" s="332" t="s">
        <v>287</v>
      </c>
      <c r="D203" s="337">
        <v>0</v>
      </c>
      <c r="E203" s="337">
        <v>0</v>
      </c>
      <c r="F203" s="337">
        <v>0</v>
      </c>
      <c r="G203" s="337">
        <v>0</v>
      </c>
      <c r="H203" s="337">
        <v>0</v>
      </c>
      <c r="I203" s="337">
        <v>0</v>
      </c>
      <c r="J203" s="337">
        <v>0</v>
      </c>
      <c r="K203" s="337">
        <v>0</v>
      </c>
      <c r="L203" s="337">
        <v>0</v>
      </c>
      <c r="M203" s="337">
        <v>0</v>
      </c>
      <c r="N203" s="337">
        <v>0</v>
      </c>
      <c r="O203" s="337">
        <v>0</v>
      </c>
      <c r="P203" s="337">
        <v>0</v>
      </c>
      <c r="Q203" s="336" t="s">
        <v>779</v>
      </c>
    </row>
    <row r="204" spans="2:17" ht="15.75" thickBot="1" x14ac:dyDescent="0.3">
      <c r="B204" s="336" t="str">
        <f>[1]Master!AF12</f>
        <v>BURUNDI</v>
      </c>
      <c r="C204" s="332" t="str">
        <f>[1]Master!AG12</f>
        <v>BY</v>
      </c>
      <c r="D204" s="337">
        <v>0</v>
      </c>
      <c r="E204" s="337">
        <v>0</v>
      </c>
      <c r="F204" s="337">
        <v>0</v>
      </c>
      <c r="G204" s="337">
        <v>0</v>
      </c>
      <c r="H204" s="337">
        <v>0</v>
      </c>
      <c r="I204" s="337">
        <v>0</v>
      </c>
      <c r="J204" s="337">
        <v>0</v>
      </c>
      <c r="K204" s="337">
        <v>0</v>
      </c>
      <c r="L204" s="337">
        <v>0</v>
      </c>
      <c r="M204" s="337">
        <v>0</v>
      </c>
      <c r="N204" s="337">
        <v>0</v>
      </c>
      <c r="O204" s="337">
        <v>0</v>
      </c>
      <c r="P204" s="337">
        <f>SUM(D204:O204)</f>
        <v>0</v>
      </c>
      <c r="Q204" s="336" t="str">
        <f>[1]Master!AF12</f>
        <v>BURUNDI</v>
      </c>
    </row>
    <row r="205" spans="2:17" ht="15.75" thickBot="1" x14ac:dyDescent="0.3">
      <c r="B205" s="336" t="str">
        <f>[1]Master!AF13</f>
        <v>CAMEROUN</v>
      </c>
      <c r="C205" s="332" t="str">
        <f>[1]Master!AG13</f>
        <v>CM</v>
      </c>
      <c r="D205" s="337">
        <v>0</v>
      </c>
      <c r="E205" s="337">
        <v>0</v>
      </c>
      <c r="F205" s="337">
        <v>0</v>
      </c>
      <c r="G205" s="337">
        <v>0</v>
      </c>
      <c r="H205" s="337">
        <v>0</v>
      </c>
      <c r="I205" s="337">
        <v>0</v>
      </c>
      <c r="J205" s="337">
        <v>0</v>
      </c>
      <c r="K205" s="337">
        <v>0</v>
      </c>
      <c r="L205" s="337">
        <v>0</v>
      </c>
      <c r="M205" s="337">
        <v>0</v>
      </c>
      <c r="N205" s="337">
        <v>0</v>
      </c>
      <c r="O205" s="337">
        <v>0</v>
      </c>
      <c r="P205" s="337">
        <f>SUM(D205:O205)</f>
        <v>0</v>
      </c>
      <c r="Q205" s="336" t="str">
        <f>[1]Master!AF13</f>
        <v>CAMEROUN</v>
      </c>
    </row>
    <row r="206" spans="2:17" ht="15.75" thickBot="1" x14ac:dyDescent="0.3">
      <c r="B206" s="336" t="str">
        <f>[1]Master!AF14</f>
        <v>CENTRAL AFR REP</v>
      </c>
      <c r="C206" s="332" t="str">
        <f>[1]Master!AG14</f>
        <v>CT</v>
      </c>
      <c r="D206" s="337">
        <v>0</v>
      </c>
      <c r="E206" s="337">
        <v>0</v>
      </c>
      <c r="F206" s="337">
        <v>0</v>
      </c>
      <c r="G206" s="337">
        <v>0</v>
      </c>
      <c r="H206" s="337">
        <v>0</v>
      </c>
      <c r="I206" s="337">
        <v>0</v>
      </c>
      <c r="J206" s="337">
        <v>0</v>
      </c>
      <c r="K206" s="337">
        <v>0</v>
      </c>
      <c r="L206" s="337">
        <v>0</v>
      </c>
      <c r="M206" s="337">
        <v>0</v>
      </c>
      <c r="N206" s="337">
        <v>0</v>
      </c>
      <c r="O206" s="337">
        <v>0</v>
      </c>
      <c r="P206" s="337">
        <f>SUM(D206:O206)</f>
        <v>0</v>
      </c>
      <c r="Q206" s="336" t="str">
        <f>[1]Master!AF14</f>
        <v>CENTRAL AFR REP</v>
      </c>
    </row>
    <row r="207" spans="2:17" ht="15.75" thickBot="1" x14ac:dyDescent="0.3">
      <c r="B207" s="336" t="str">
        <f>[1]Master!AF15</f>
        <v>CHINA</v>
      </c>
      <c r="C207" s="332" t="str">
        <f>[1]Master!AG15</f>
        <v>CH</v>
      </c>
      <c r="D207" s="337">
        <v>0</v>
      </c>
      <c r="E207" s="337">
        <v>0</v>
      </c>
      <c r="F207" s="337">
        <v>0</v>
      </c>
      <c r="G207" s="337">
        <v>0</v>
      </c>
      <c r="H207" s="337">
        <v>0</v>
      </c>
      <c r="I207" s="337">
        <v>0</v>
      </c>
      <c r="J207" s="337">
        <v>0</v>
      </c>
      <c r="K207" s="337">
        <v>0</v>
      </c>
      <c r="L207" s="337">
        <v>0</v>
      </c>
      <c r="M207" s="337">
        <v>0</v>
      </c>
      <c r="N207" s="337">
        <v>0</v>
      </c>
      <c r="O207" s="337">
        <v>0</v>
      </c>
      <c r="P207" s="337">
        <f>SUM(D207:O207)</f>
        <v>0</v>
      </c>
      <c r="Q207" s="336" t="str">
        <f>[1]Master!AF15</f>
        <v>CHINA</v>
      </c>
    </row>
    <row r="208" spans="2:17" ht="15.75" thickBot="1" x14ac:dyDescent="0.3">
      <c r="B208" s="336" t="str">
        <f>[1]Master!AF16</f>
        <v>DEM REP OF CONGO</v>
      </c>
      <c r="C208" s="332" t="str">
        <f>[1]Master!AG16</f>
        <v>CG</v>
      </c>
      <c r="D208" s="337">
        <v>0</v>
      </c>
      <c r="E208" s="337">
        <v>9</v>
      </c>
      <c r="F208" s="337">
        <v>0</v>
      </c>
      <c r="G208" s="337">
        <v>7</v>
      </c>
      <c r="H208" s="337">
        <v>0</v>
      </c>
      <c r="I208" s="337">
        <v>5</v>
      </c>
      <c r="J208" s="337">
        <v>0</v>
      </c>
      <c r="K208" s="337">
        <v>0</v>
      </c>
      <c r="L208" s="337">
        <v>0</v>
      </c>
      <c r="M208" s="337">
        <v>0</v>
      </c>
      <c r="N208" s="337">
        <v>0</v>
      </c>
      <c r="O208" s="337">
        <v>0</v>
      </c>
      <c r="P208" s="337">
        <f>SUM(D208:O208)</f>
        <v>21</v>
      </c>
      <c r="Q208" s="336" t="str">
        <f>[1]Master!AF16</f>
        <v>DEM REP OF CONGO</v>
      </c>
    </row>
    <row r="209" spans="2:17" ht="15.75" thickBot="1" x14ac:dyDescent="0.3">
      <c r="B209" s="336" t="str">
        <f>[1]Master!AF17</f>
        <v>COLUMBIA</v>
      </c>
      <c r="C209" s="332" t="str">
        <f>[1]Master!AG17</f>
        <v>CO</v>
      </c>
      <c r="D209" s="337">
        <v>0</v>
      </c>
      <c r="E209" s="337">
        <v>0</v>
      </c>
      <c r="F209" s="337">
        <v>0</v>
      </c>
      <c r="G209" s="337">
        <v>0</v>
      </c>
      <c r="H209" s="337">
        <v>0</v>
      </c>
      <c r="I209" s="337">
        <v>0</v>
      </c>
      <c r="J209" s="337">
        <v>0</v>
      </c>
      <c r="K209" s="337">
        <v>0</v>
      </c>
      <c r="L209" s="337">
        <v>0</v>
      </c>
      <c r="M209" s="337">
        <v>0</v>
      </c>
      <c r="N209" s="337">
        <v>0</v>
      </c>
      <c r="O209" s="337">
        <v>0</v>
      </c>
      <c r="P209" s="337">
        <f>SUM(D209:O209)</f>
        <v>0</v>
      </c>
      <c r="Q209" s="336" t="str">
        <f>[1]Master!AF17</f>
        <v>COLUMBIA</v>
      </c>
    </row>
    <row r="210" spans="2:17" ht="15.75" thickBot="1" x14ac:dyDescent="0.3">
      <c r="B210" s="336" t="str">
        <f>[1]Master!AF18</f>
        <v>CONGO</v>
      </c>
      <c r="C210" s="332" t="str">
        <f>[1]Master!AG18</f>
        <v>CF</v>
      </c>
      <c r="D210" s="337">
        <v>0</v>
      </c>
      <c r="E210" s="337">
        <v>0</v>
      </c>
      <c r="F210" s="337">
        <v>0</v>
      </c>
      <c r="G210" s="337">
        <v>0</v>
      </c>
      <c r="H210" s="337">
        <v>0</v>
      </c>
      <c r="I210" s="337">
        <v>0</v>
      </c>
      <c r="J210" s="337">
        <v>0</v>
      </c>
      <c r="K210" s="337">
        <v>0</v>
      </c>
      <c r="L210" s="337">
        <v>0</v>
      </c>
      <c r="M210" s="337">
        <v>0</v>
      </c>
      <c r="N210" s="337">
        <v>0</v>
      </c>
      <c r="O210" s="337">
        <v>0</v>
      </c>
      <c r="P210" s="337">
        <f>SUM(D210:O210)</f>
        <v>0</v>
      </c>
      <c r="Q210" s="336" t="str">
        <f>[1]Master!AF18</f>
        <v>CONGO</v>
      </c>
    </row>
    <row r="211" spans="2:17" ht="15.75" thickBot="1" x14ac:dyDescent="0.3">
      <c r="B211" s="336" t="str">
        <f>[1]Master!AF19</f>
        <v>CUBA</v>
      </c>
      <c r="C211" s="332" t="str">
        <f>[1]Master!AG19</f>
        <v>CU</v>
      </c>
      <c r="D211" s="337">
        <v>0</v>
      </c>
      <c r="E211" s="337">
        <v>0</v>
      </c>
      <c r="F211" s="337">
        <v>0</v>
      </c>
      <c r="G211" s="337">
        <v>0</v>
      </c>
      <c r="H211" s="337">
        <v>0</v>
      </c>
      <c r="I211" s="337">
        <v>0</v>
      </c>
      <c r="J211" s="337">
        <v>0</v>
      </c>
      <c r="K211" s="337">
        <v>0</v>
      </c>
      <c r="L211" s="337">
        <v>0</v>
      </c>
      <c r="M211" s="337">
        <v>0</v>
      </c>
      <c r="N211" s="337">
        <v>0</v>
      </c>
      <c r="O211" s="337">
        <v>0</v>
      </c>
      <c r="P211" s="337">
        <f>SUM(D211:O211)</f>
        <v>0</v>
      </c>
      <c r="Q211" s="336" t="str">
        <f>[1]Master!AF19</f>
        <v>CUBA</v>
      </c>
    </row>
    <row r="212" spans="2:17" ht="15.75" thickBot="1" x14ac:dyDescent="0.3">
      <c r="B212" s="336" t="str">
        <f>[1]Master!AF20</f>
        <v>CUBAN ENTRANT</v>
      </c>
      <c r="C212" s="332" t="str">
        <f>[1]Master!AG20</f>
        <v>CUE</v>
      </c>
      <c r="D212" s="337">
        <v>0</v>
      </c>
      <c r="E212" s="337">
        <v>0</v>
      </c>
      <c r="F212" s="337">
        <v>0</v>
      </c>
      <c r="G212" s="337">
        <v>0</v>
      </c>
      <c r="H212" s="337">
        <v>0</v>
      </c>
      <c r="I212" s="337">
        <v>0</v>
      </c>
      <c r="J212" s="337">
        <v>0</v>
      </c>
      <c r="K212" s="337">
        <v>0</v>
      </c>
      <c r="L212" s="337">
        <v>0</v>
      </c>
      <c r="M212" s="337">
        <v>0</v>
      </c>
      <c r="N212" s="337">
        <v>0</v>
      </c>
      <c r="O212" s="337">
        <v>0</v>
      </c>
      <c r="P212" s="337">
        <f>SUM(D212:O212)</f>
        <v>0</v>
      </c>
      <c r="Q212" s="336" t="str">
        <f>[1]Master!AF20</f>
        <v>CUBAN ENTRANT</v>
      </c>
    </row>
    <row r="213" spans="2:17" ht="15.75" thickBot="1" x14ac:dyDescent="0.3">
      <c r="B213" s="336" t="str">
        <f>[1]Master!AF21</f>
        <v>ECUADOR</v>
      </c>
      <c r="C213" s="332" t="str">
        <f>[1]Master!AG21</f>
        <v>EC</v>
      </c>
      <c r="D213" s="337">
        <v>0</v>
      </c>
      <c r="E213" s="337">
        <v>0</v>
      </c>
      <c r="F213" s="337">
        <v>0</v>
      </c>
      <c r="G213" s="337">
        <v>0</v>
      </c>
      <c r="H213" s="337">
        <v>0</v>
      </c>
      <c r="I213" s="337">
        <v>0</v>
      </c>
      <c r="J213" s="337">
        <v>0</v>
      </c>
      <c r="K213" s="337">
        <v>0</v>
      </c>
      <c r="L213" s="337">
        <v>0</v>
      </c>
      <c r="M213" s="337">
        <v>0</v>
      </c>
      <c r="N213" s="337">
        <v>0</v>
      </c>
      <c r="O213" s="337">
        <v>0</v>
      </c>
      <c r="P213" s="337">
        <f>SUM(D213:O213)</f>
        <v>0</v>
      </c>
      <c r="Q213" s="336" t="str">
        <f>[1]Master!AF21</f>
        <v>ECUADOR</v>
      </c>
    </row>
    <row r="214" spans="2:17" ht="15.75" thickBot="1" x14ac:dyDescent="0.3">
      <c r="B214" s="336" t="str">
        <f>[1]Master!AF22</f>
        <v>EGYPT</v>
      </c>
      <c r="C214" s="332" t="str">
        <f>[1]Master!AG22</f>
        <v>EG</v>
      </c>
      <c r="D214" s="337">
        <v>0</v>
      </c>
      <c r="E214" s="337">
        <v>0</v>
      </c>
      <c r="F214" s="337">
        <v>0</v>
      </c>
      <c r="G214" s="337">
        <v>0</v>
      </c>
      <c r="H214" s="337">
        <v>0</v>
      </c>
      <c r="I214" s="337">
        <v>0</v>
      </c>
      <c r="J214" s="337">
        <v>0</v>
      </c>
      <c r="K214" s="337">
        <v>0</v>
      </c>
      <c r="L214" s="337">
        <v>0</v>
      </c>
      <c r="M214" s="337">
        <v>0</v>
      </c>
      <c r="N214" s="337">
        <v>0</v>
      </c>
      <c r="O214" s="337">
        <v>0</v>
      </c>
      <c r="P214" s="337">
        <f>SUM(D214:O214)</f>
        <v>0</v>
      </c>
      <c r="Q214" s="336" t="str">
        <f>[1]Master!AF22</f>
        <v>EGYPT</v>
      </c>
    </row>
    <row r="215" spans="2:17" ht="15.75" thickBot="1" x14ac:dyDescent="0.3">
      <c r="B215" s="336" t="str">
        <f>[1]Master!AF23</f>
        <v>ERITREA</v>
      </c>
      <c r="C215" s="332" t="str">
        <f>[1]Master!AG23</f>
        <v>ER</v>
      </c>
      <c r="D215" s="337">
        <v>0</v>
      </c>
      <c r="E215" s="337">
        <v>0</v>
      </c>
      <c r="F215" s="337">
        <v>0</v>
      </c>
      <c r="G215" s="337">
        <v>0</v>
      </c>
      <c r="H215" s="337">
        <v>0</v>
      </c>
      <c r="I215" s="337">
        <v>0</v>
      </c>
      <c r="J215" s="337">
        <v>0</v>
      </c>
      <c r="K215" s="337">
        <v>0</v>
      </c>
      <c r="L215" s="337">
        <v>0</v>
      </c>
      <c r="M215" s="337">
        <v>0</v>
      </c>
      <c r="N215" s="337">
        <v>0</v>
      </c>
      <c r="O215" s="337">
        <v>0</v>
      </c>
      <c r="P215" s="337">
        <f>SUM(D215:O215)</f>
        <v>0</v>
      </c>
      <c r="Q215" s="336" t="str">
        <f>[1]Master!AF23</f>
        <v>ERITREA</v>
      </c>
    </row>
    <row r="216" spans="2:17" ht="15.75" thickBot="1" x14ac:dyDescent="0.3">
      <c r="B216" s="336" t="str">
        <f>[1]Master!AF24</f>
        <v>ETHIOPIA</v>
      </c>
      <c r="C216" s="332" t="str">
        <f>[1]Master!AG24</f>
        <v>ET</v>
      </c>
      <c r="D216" s="337">
        <v>0</v>
      </c>
      <c r="E216" s="337">
        <v>0</v>
      </c>
      <c r="F216" s="337">
        <v>0</v>
      </c>
      <c r="G216" s="337">
        <v>0</v>
      </c>
      <c r="H216" s="337">
        <v>0</v>
      </c>
      <c r="I216" s="337">
        <v>0</v>
      </c>
      <c r="J216" s="337">
        <v>0</v>
      </c>
      <c r="K216" s="337">
        <v>0</v>
      </c>
      <c r="L216" s="337">
        <v>0</v>
      </c>
      <c r="M216" s="337">
        <v>0</v>
      </c>
      <c r="N216" s="337">
        <v>0</v>
      </c>
      <c r="O216" s="337">
        <v>0</v>
      </c>
      <c r="P216" s="337">
        <f>SUM(D216:O216)</f>
        <v>0</v>
      </c>
      <c r="Q216" s="336" t="str">
        <f>[1]Master!AF24</f>
        <v>ETHIOPIA</v>
      </c>
    </row>
    <row r="217" spans="2:17" ht="15.75" thickBot="1" x14ac:dyDescent="0.3">
      <c r="B217" s="336" t="str">
        <f>[1]Master!AF25</f>
        <v>FRANCE</v>
      </c>
      <c r="C217" s="332" t="str">
        <f>[1]Master!AG25</f>
        <v>FR</v>
      </c>
      <c r="D217" s="337">
        <v>0</v>
      </c>
      <c r="E217" s="337">
        <v>0</v>
      </c>
      <c r="F217" s="337">
        <v>0</v>
      </c>
      <c r="G217" s="337">
        <v>0</v>
      </c>
      <c r="H217" s="337">
        <v>0</v>
      </c>
      <c r="I217" s="337">
        <v>0</v>
      </c>
      <c r="J217" s="337">
        <v>0</v>
      </c>
      <c r="K217" s="337">
        <v>0</v>
      </c>
      <c r="L217" s="337">
        <v>0</v>
      </c>
      <c r="M217" s="337">
        <v>0</v>
      </c>
      <c r="N217" s="337">
        <v>0</v>
      </c>
      <c r="O217" s="337">
        <v>0</v>
      </c>
      <c r="P217" s="337">
        <f>SUM(D217:O217)</f>
        <v>0</v>
      </c>
      <c r="Q217" s="336" t="str">
        <f>[1]Master!AF25</f>
        <v>FRANCE</v>
      </c>
    </row>
    <row r="218" spans="2:17" ht="15.75" thickBot="1" x14ac:dyDescent="0.3">
      <c r="B218" s="336" t="str">
        <f>[1]Master!AF26</f>
        <v>GUINEA</v>
      </c>
      <c r="C218" s="332" t="str">
        <f>[1]Master!AG26</f>
        <v>GV</v>
      </c>
      <c r="D218" s="337">
        <v>0</v>
      </c>
      <c r="E218" s="337">
        <v>0</v>
      </c>
      <c r="F218" s="337">
        <v>0</v>
      </c>
      <c r="G218" s="337">
        <v>0</v>
      </c>
      <c r="H218" s="337">
        <v>0</v>
      </c>
      <c r="I218" s="337">
        <v>0</v>
      </c>
      <c r="J218" s="337">
        <v>0</v>
      </c>
      <c r="K218" s="337">
        <v>0</v>
      </c>
      <c r="L218" s="337">
        <v>0</v>
      </c>
      <c r="M218" s="337">
        <v>0</v>
      </c>
      <c r="N218" s="337">
        <v>0</v>
      </c>
      <c r="O218" s="337">
        <v>0</v>
      </c>
      <c r="P218" s="337">
        <f>SUM(D218:O218)</f>
        <v>0</v>
      </c>
      <c r="Q218" s="336" t="str">
        <f>[1]Master!AF26</f>
        <v>GUINEA</v>
      </c>
    </row>
    <row r="219" spans="2:17" ht="15.75" thickBot="1" x14ac:dyDescent="0.3">
      <c r="B219" s="336" t="str">
        <f>[1]Master!AF27</f>
        <v>HAITI</v>
      </c>
      <c r="C219" s="332" t="str">
        <f>[1]Master!AG27</f>
        <v>HA</v>
      </c>
      <c r="D219" s="337">
        <v>0</v>
      </c>
      <c r="E219" s="337">
        <v>0</v>
      </c>
      <c r="F219" s="337">
        <v>0</v>
      </c>
      <c r="G219" s="337">
        <v>0</v>
      </c>
      <c r="H219" s="337">
        <v>0</v>
      </c>
      <c r="I219" s="337">
        <v>0</v>
      </c>
      <c r="J219" s="337">
        <v>0</v>
      </c>
      <c r="K219" s="337">
        <v>0</v>
      </c>
      <c r="L219" s="337">
        <v>0</v>
      </c>
      <c r="M219" s="337">
        <v>0</v>
      </c>
      <c r="N219" s="337">
        <v>0</v>
      </c>
      <c r="O219" s="337">
        <v>0</v>
      </c>
      <c r="P219" s="337">
        <f>SUM(D219:O219)</f>
        <v>0</v>
      </c>
      <c r="Q219" s="336" t="str">
        <f>[1]Master!AF27</f>
        <v>HAITI</v>
      </c>
    </row>
    <row r="220" spans="2:17" ht="15.75" thickBot="1" x14ac:dyDescent="0.3">
      <c r="B220" s="336" t="str">
        <f>[1]Master!AF28</f>
        <v>INDIA</v>
      </c>
      <c r="C220" s="332" t="str">
        <f>[1]Master!AG28</f>
        <v>IN</v>
      </c>
      <c r="D220" s="337">
        <v>0</v>
      </c>
      <c r="E220" s="337">
        <v>0</v>
      </c>
      <c r="F220" s="337">
        <v>1</v>
      </c>
      <c r="G220" s="337">
        <v>0</v>
      </c>
      <c r="H220" s="337">
        <v>0</v>
      </c>
      <c r="I220" s="337">
        <v>0</v>
      </c>
      <c r="J220" s="337">
        <v>0</v>
      </c>
      <c r="K220" s="337">
        <v>0</v>
      </c>
      <c r="L220" s="337">
        <v>0</v>
      </c>
      <c r="M220" s="337">
        <v>0</v>
      </c>
      <c r="N220" s="337">
        <v>0</v>
      </c>
      <c r="O220" s="337">
        <v>0</v>
      </c>
      <c r="P220" s="337">
        <f>SUM(D220:O220)</f>
        <v>1</v>
      </c>
      <c r="Q220" s="336" t="str">
        <f>[1]Master!AF28</f>
        <v>INDIA</v>
      </c>
    </row>
    <row r="221" spans="2:17" ht="15.75" thickBot="1" x14ac:dyDescent="0.3">
      <c r="B221" s="336" t="str">
        <f>[1]Master!AF29</f>
        <v>INDONESIA</v>
      </c>
      <c r="C221" s="332" t="str">
        <f>[1]Master!AG29</f>
        <v>ID</v>
      </c>
      <c r="D221" s="337">
        <v>0</v>
      </c>
      <c r="E221" s="337">
        <v>0</v>
      </c>
      <c r="F221" s="337">
        <v>0</v>
      </c>
      <c r="G221" s="337">
        <v>0</v>
      </c>
      <c r="H221" s="337">
        <v>0</v>
      </c>
      <c r="I221" s="337">
        <v>0</v>
      </c>
      <c r="J221" s="337">
        <v>0</v>
      </c>
      <c r="K221" s="337">
        <v>0</v>
      </c>
      <c r="L221" s="337">
        <v>0</v>
      </c>
      <c r="M221" s="337">
        <v>0</v>
      </c>
      <c r="N221" s="337">
        <v>0</v>
      </c>
      <c r="O221" s="337">
        <v>0</v>
      </c>
      <c r="P221" s="337">
        <f>SUM(D221:O221)</f>
        <v>0</v>
      </c>
      <c r="Q221" s="336" t="str">
        <f>[1]Master!AF29</f>
        <v>INDONESIA</v>
      </c>
    </row>
    <row r="222" spans="2:17" ht="15.75" thickBot="1" x14ac:dyDescent="0.3">
      <c r="B222" s="336" t="str">
        <f>[1]Master!AF30</f>
        <v>IRAN</v>
      </c>
      <c r="C222" s="332" t="str">
        <f>[1]Master!AG30</f>
        <v>IR</v>
      </c>
      <c r="D222" s="337">
        <v>0</v>
      </c>
      <c r="E222" s="337">
        <v>0</v>
      </c>
      <c r="F222" s="337">
        <v>0</v>
      </c>
      <c r="G222" s="337">
        <v>0</v>
      </c>
      <c r="H222" s="337">
        <v>0</v>
      </c>
      <c r="I222" s="337">
        <v>0</v>
      </c>
      <c r="J222" s="337">
        <v>0</v>
      </c>
      <c r="K222" s="337">
        <v>0</v>
      </c>
      <c r="L222" s="337">
        <v>0</v>
      </c>
      <c r="M222" s="337">
        <v>0</v>
      </c>
      <c r="N222" s="337">
        <v>0</v>
      </c>
      <c r="O222" s="337">
        <v>0</v>
      </c>
      <c r="P222" s="337">
        <f>SUM(D222:O222)</f>
        <v>0</v>
      </c>
      <c r="Q222" s="336" t="str">
        <f>[1]Master!AF30</f>
        <v>IRAN</v>
      </c>
    </row>
    <row r="223" spans="2:17" ht="15.75" thickBot="1" x14ac:dyDescent="0.3">
      <c r="B223" s="336" t="str">
        <f>[1]Master!AF31</f>
        <v>IRAQ</v>
      </c>
      <c r="C223" s="332" t="str">
        <f>[1]Master!AG31</f>
        <v>IZ</v>
      </c>
      <c r="D223" s="337">
        <v>11</v>
      </c>
      <c r="E223" s="337">
        <v>0</v>
      </c>
      <c r="F223" s="337">
        <v>0</v>
      </c>
      <c r="G223" s="337">
        <v>0</v>
      </c>
      <c r="H223" s="337">
        <v>0</v>
      </c>
      <c r="I223" s="337">
        <v>0</v>
      </c>
      <c r="J223" s="337">
        <v>0</v>
      </c>
      <c r="K223" s="337">
        <v>11</v>
      </c>
      <c r="L223" s="337">
        <v>0</v>
      </c>
      <c r="M223" s="337">
        <v>0</v>
      </c>
      <c r="N223" s="337">
        <v>0</v>
      </c>
      <c r="O223" s="337">
        <v>0</v>
      </c>
      <c r="P223" s="337">
        <f>SUM(D223:O223)</f>
        <v>22</v>
      </c>
      <c r="Q223" s="336" t="str">
        <f>[1]Master!AF31</f>
        <v>IRAQ</v>
      </c>
    </row>
    <row r="224" spans="2:17" ht="15.75" thickBot="1" x14ac:dyDescent="0.3">
      <c r="B224" s="336" t="str">
        <f>[1]Master!AF32</f>
        <v>IVORY COAST</v>
      </c>
      <c r="C224" s="332" t="str">
        <f>[1]Master!AG32</f>
        <v>IV</v>
      </c>
      <c r="D224" s="337">
        <v>0</v>
      </c>
      <c r="E224" s="337">
        <v>0</v>
      </c>
      <c r="F224" s="337">
        <v>0</v>
      </c>
      <c r="G224" s="337">
        <v>0</v>
      </c>
      <c r="H224" s="337">
        <v>0</v>
      </c>
      <c r="I224" s="337">
        <v>0</v>
      </c>
      <c r="J224" s="337">
        <v>0</v>
      </c>
      <c r="K224" s="337">
        <v>0</v>
      </c>
      <c r="L224" s="337">
        <v>0</v>
      </c>
      <c r="M224" s="337">
        <v>0</v>
      </c>
      <c r="N224" s="337">
        <v>0</v>
      </c>
      <c r="O224" s="337">
        <v>0</v>
      </c>
      <c r="P224" s="337">
        <f>SUM(D224:O224)</f>
        <v>0</v>
      </c>
      <c r="Q224" s="336" t="str">
        <f>[1]Master!AF32</f>
        <v>IVORY COAST</v>
      </c>
    </row>
    <row r="225" spans="2:17" ht="15.75" thickBot="1" x14ac:dyDescent="0.3">
      <c r="B225" s="336" t="str">
        <f>[1]Master!AF33</f>
        <v>JORDAN</v>
      </c>
      <c r="C225" s="332" t="str">
        <f>[1]Master!AG33</f>
        <v>JO</v>
      </c>
      <c r="D225" s="337">
        <v>0</v>
      </c>
      <c r="E225" s="337">
        <v>0</v>
      </c>
      <c r="F225" s="337">
        <v>0</v>
      </c>
      <c r="G225" s="337">
        <v>0</v>
      </c>
      <c r="H225" s="337">
        <v>0</v>
      </c>
      <c r="I225" s="337">
        <v>0</v>
      </c>
      <c r="J225" s="337">
        <v>0</v>
      </c>
      <c r="K225" s="337">
        <v>0</v>
      </c>
      <c r="L225" s="337">
        <v>0</v>
      </c>
      <c r="M225" s="337">
        <v>0</v>
      </c>
      <c r="N225" s="337">
        <v>0</v>
      </c>
      <c r="O225" s="337">
        <v>0</v>
      </c>
      <c r="P225" s="337">
        <f>SUM(D225:O225)</f>
        <v>0</v>
      </c>
      <c r="Q225" s="336" t="str">
        <f>[1]Master!AF33</f>
        <v>JORDAN</v>
      </c>
    </row>
    <row r="226" spans="2:17" ht="15.75" thickBot="1" x14ac:dyDescent="0.3">
      <c r="B226" s="336" t="str">
        <f>[1]Master!AF34</f>
        <v>KAZAKHSTAN</v>
      </c>
      <c r="C226" s="332" t="str">
        <f>[1]Master!AG34</f>
        <v>KZ</v>
      </c>
      <c r="D226" s="337">
        <v>0</v>
      </c>
      <c r="E226" s="337">
        <v>0</v>
      </c>
      <c r="F226" s="337">
        <v>0</v>
      </c>
      <c r="G226" s="337">
        <v>0</v>
      </c>
      <c r="H226" s="337">
        <v>0</v>
      </c>
      <c r="I226" s="337">
        <v>0</v>
      </c>
      <c r="J226" s="337">
        <v>0</v>
      </c>
      <c r="K226" s="337">
        <v>0</v>
      </c>
      <c r="L226" s="337">
        <v>0</v>
      </c>
      <c r="M226" s="337">
        <v>0</v>
      </c>
      <c r="N226" s="337">
        <v>0</v>
      </c>
      <c r="O226" s="337">
        <v>0</v>
      </c>
      <c r="P226" s="337">
        <f>SUM(D226:O226)</f>
        <v>0</v>
      </c>
      <c r="Q226" s="336" t="str">
        <f>[1]Master!AF34</f>
        <v>KAZAKHSTAN</v>
      </c>
    </row>
    <row r="227" spans="2:17" ht="15.75" thickBot="1" x14ac:dyDescent="0.3">
      <c r="B227" s="336" t="str">
        <f>[1]Master!AF35</f>
        <v>KENYA</v>
      </c>
      <c r="C227" s="332" t="str">
        <f>[1]Master!AG35</f>
        <v>KE</v>
      </c>
      <c r="D227" s="337">
        <v>0</v>
      </c>
      <c r="E227" s="337">
        <v>0</v>
      </c>
      <c r="F227" s="337">
        <v>0</v>
      </c>
      <c r="G227" s="337">
        <v>0</v>
      </c>
      <c r="H227" s="337">
        <v>0</v>
      </c>
      <c r="I227" s="337">
        <v>0</v>
      </c>
      <c r="J227" s="337">
        <v>0</v>
      </c>
      <c r="K227" s="337">
        <v>0</v>
      </c>
      <c r="L227" s="337">
        <v>0</v>
      </c>
      <c r="M227" s="337">
        <v>0</v>
      </c>
      <c r="N227" s="337">
        <v>0</v>
      </c>
      <c r="O227" s="337">
        <v>0</v>
      </c>
      <c r="P227" s="337">
        <f>SUM(D227:O227)</f>
        <v>0</v>
      </c>
      <c r="Q227" s="336" t="str">
        <f>[1]Master!AF35</f>
        <v>KENYA</v>
      </c>
    </row>
    <row r="228" spans="2:17" ht="15.75" thickBot="1" x14ac:dyDescent="0.3">
      <c r="B228" s="336" t="str">
        <f>[1]Master!AF36</f>
        <v>LEBANON</v>
      </c>
      <c r="C228" s="332" t="str">
        <f>[1]Master!AG36</f>
        <v>LE</v>
      </c>
      <c r="D228" s="337">
        <v>0</v>
      </c>
      <c r="E228" s="337">
        <v>0</v>
      </c>
      <c r="F228" s="337">
        <v>0</v>
      </c>
      <c r="G228" s="337">
        <v>0</v>
      </c>
      <c r="H228" s="337">
        <v>0</v>
      </c>
      <c r="I228" s="337">
        <v>0</v>
      </c>
      <c r="J228" s="337">
        <v>0</v>
      </c>
      <c r="K228" s="337">
        <v>0</v>
      </c>
      <c r="L228" s="337">
        <v>0</v>
      </c>
      <c r="M228" s="337">
        <v>0</v>
      </c>
      <c r="N228" s="337">
        <v>0</v>
      </c>
      <c r="O228" s="337">
        <v>0</v>
      </c>
      <c r="P228" s="337">
        <f>SUM(D228:O228)</f>
        <v>0</v>
      </c>
      <c r="Q228" s="336" t="str">
        <f>[1]Master!AF36</f>
        <v>LEBANON</v>
      </c>
    </row>
    <row r="229" spans="2:17" ht="15.75" thickBot="1" x14ac:dyDescent="0.3">
      <c r="B229" s="336" t="str">
        <f>[1]Master!AF37</f>
        <v>LIBERIA</v>
      </c>
      <c r="C229" s="332" t="str">
        <f>[1]Master!AG37</f>
        <v>LI</v>
      </c>
      <c r="D229" s="337">
        <v>0</v>
      </c>
      <c r="E229" s="337">
        <v>0</v>
      </c>
      <c r="F229" s="337">
        <v>0</v>
      </c>
      <c r="G229" s="337">
        <v>0</v>
      </c>
      <c r="H229" s="337">
        <v>0</v>
      </c>
      <c r="I229" s="337">
        <v>0</v>
      </c>
      <c r="J229" s="337">
        <v>0</v>
      </c>
      <c r="K229" s="337">
        <v>0</v>
      </c>
      <c r="L229" s="337">
        <v>0</v>
      </c>
      <c r="M229" s="337">
        <v>0</v>
      </c>
      <c r="N229" s="337">
        <v>0</v>
      </c>
      <c r="O229" s="337">
        <v>0</v>
      </c>
      <c r="P229" s="337">
        <f>SUM(D229:O229)</f>
        <v>0</v>
      </c>
      <c r="Q229" s="336" t="str">
        <f>[1]Master!AF37</f>
        <v>LIBERIA</v>
      </c>
    </row>
    <row r="230" spans="2:17" ht="15.75" thickBot="1" x14ac:dyDescent="0.3">
      <c r="B230" s="336" t="str">
        <f>[1]Master!AF38</f>
        <v>LIBYA</v>
      </c>
      <c r="C230" s="332" t="str">
        <f>[1]Master!AG38</f>
        <v>LY</v>
      </c>
      <c r="D230" s="337">
        <v>0</v>
      </c>
      <c r="E230" s="337">
        <v>0</v>
      </c>
      <c r="F230" s="337">
        <v>0</v>
      </c>
      <c r="G230" s="337">
        <v>0</v>
      </c>
      <c r="H230" s="337">
        <v>0</v>
      </c>
      <c r="I230" s="337">
        <v>0</v>
      </c>
      <c r="J230" s="337">
        <v>0</v>
      </c>
      <c r="K230" s="337">
        <v>0</v>
      </c>
      <c r="L230" s="337">
        <v>0</v>
      </c>
      <c r="M230" s="337">
        <v>0</v>
      </c>
      <c r="N230" s="337">
        <v>0</v>
      </c>
      <c r="O230" s="337">
        <v>0</v>
      </c>
      <c r="P230" s="337">
        <f>SUM(D230:O230)</f>
        <v>0</v>
      </c>
      <c r="Q230" s="336" t="str">
        <f>[1]Master!AF38</f>
        <v>LIBYA</v>
      </c>
    </row>
    <row r="231" spans="2:17" ht="15.75" thickBot="1" x14ac:dyDescent="0.3">
      <c r="B231" s="336" t="str">
        <f>[1]Master!AF39</f>
        <v>MOLDOVA</v>
      </c>
      <c r="C231" s="332" t="str">
        <f>[1]Master!AG39</f>
        <v>MD</v>
      </c>
      <c r="D231" s="337">
        <v>0</v>
      </c>
      <c r="E231" s="337">
        <v>0</v>
      </c>
      <c r="F231" s="337">
        <v>0</v>
      </c>
      <c r="G231" s="337">
        <v>0</v>
      </c>
      <c r="H231" s="337">
        <v>0</v>
      </c>
      <c r="I231" s="337">
        <v>0</v>
      </c>
      <c r="J231" s="337">
        <v>0</v>
      </c>
      <c r="K231" s="337">
        <v>0</v>
      </c>
      <c r="L231" s="337">
        <v>0</v>
      </c>
      <c r="M231" s="337">
        <v>0</v>
      </c>
      <c r="N231" s="337">
        <v>0</v>
      </c>
      <c r="O231" s="337">
        <v>0</v>
      </c>
      <c r="P231" s="337">
        <f>SUM(D231:O231)</f>
        <v>0</v>
      </c>
      <c r="Q231" s="336" t="str">
        <f>[1]Master!AF39</f>
        <v>MOLDOVA</v>
      </c>
    </row>
    <row r="232" spans="2:17" ht="15.75" thickBot="1" x14ac:dyDescent="0.3">
      <c r="B232" s="336" t="str">
        <f>[1]Master!AF40</f>
        <v>MALI</v>
      </c>
      <c r="C232" s="332" t="str">
        <f>[1]Master!AG40</f>
        <v>ML</v>
      </c>
      <c r="D232" s="337">
        <v>0</v>
      </c>
      <c r="E232" s="337">
        <v>0</v>
      </c>
      <c r="F232" s="337">
        <v>0</v>
      </c>
      <c r="G232" s="337">
        <v>0</v>
      </c>
      <c r="H232" s="337">
        <v>0</v>
      </c>
      <c r="I232" s="337">
        <v>0</v>
      </c>
      <c r="J232" s="337">
        <v>0</v>
      </c>
      <c r="K232" s="337">
        <v>0</v>
      </c>
      <c r="L232" s="337">
        <v>0</v>
      </c>
      <c r="M232" s="337">
        <v>0</v>
      </c>
      <c r="N232" s="337">
        <v>0</v>
      </c>
      <c r="O232" s="337">
        <v>0</v>
      </c>
      <c r="P232" s="337">
        <f>SUM(D232:O232)</f>
        <v>0</v>
      </c>
      <c r="Q232" s="336" t="str">
        <f>[1]Master!AF40</f>
        <v>MALI</v>
      </c>
    </row>
    <row r="233" spans="2:17" ht="15.75" thickBot="1" x14ac:dyDescent="0.3">
      <c r="B233" s="336" t="str">
        <f>[1]Master!AF41</f>
        <v>MALAYSIA</v>
      </c>
      <c r="C233" s="332" t="str">
        <f>[1]Master!AG41</f>
        <v>MY</v>
      </c>
      <c r="D233" s="337">
        <v>0</v>
      </c>
      <c r="E233" s="337">
        <v>0</v>
      </c>
      <c r="F233" s="337">
        <v>0</v>
      </c>
      <c r="G233" s="337">
        <v>0</v>
      </c>
      <c r="H233" s="337">
        <v>0</v>
      </c>
      <c r="I233" s="337">
        <v>0</v>
      </c>
      <c r="J233" s="337">
        <v>0</v>
      </c>
      <c r="K233" s="337">
        <v>0</v>
      </c>
      <c r="L233" s="337">
        <v>0</v>
      </c>
      <c r="M233" s="337">
        <v>0</v>
      </c>
      <c r="N233" s="337">
        <v>0</v>
      </c>
      <c r="O233" s="337">
        <v>0</v>
      </c>
      <c r="P233" s="337">
        <f>SUM(D233:O233)</f>
        <v>0</v>
      </c>
      <c r="Q233" s="336" t="str">
        <f>[1]Master!AF41</f>
        <v>MALAYSIA</v>
      </c>
    </row>
    <row r="234" spans="2:17" ht="15.75" thickBot="1" x14ac:dyDescent="0.3">
      <c r="B234" s="336" t="str">
        <f>[1]Master!AF42</f>
        <v>NAMIBIA</v>
      </c>
      <c r="C234" s="332" t="str">
        <f>[1]Master!AG42</f>
        <v>WA</v>
      </c>
      <c r="D234" s="337">
        <v>0</v>
      </c>
      <c r="E234" s="337">
        <v>0</v>
      </c>
      <c r="F234" s="337">
        <v>0</v>
      </c>
      <c r="G234" s="337">
        <v>0</v>
      </c>
      <c r="H234" s="337">
        <v>0</v>
      </c>
      <c r="I234" s="337">
        <v>0</v>
      </c>
      <c r="J234" s="337">
        <v>0</v>
      </c>
      <c r="K234" s="337">
        <v>0</v>
      </c>
      <c r="L234" s="337">
        <v>0</v>
      </c>
      <c r="M234" s="337">
        <v>0</v>
      </c>
      <c r="N234" s="337">
        <v>0</v>
      </c>
      <c r="O234" s="337">
        <v>0</v>
      </c>
      <c r="P234" s="337">
        <f>SUM(D234:O234)</f>
        <v>0</v>
      </c>
      <c r="Q234" s="336" t="str">
        <f>[1]Master!AF42</f>
        <v>NAMIBIA</v>
      </c>
    </row>
    <row r="235" spans="2:17" ht="15.75" thickBot="1" x14ac:dyDescent="0.3">
      <c r="B235" s="336" t="str">
        <f>[1]Master!AF43</f>
        <v>NEPAL</v>
      </c>
      <c r="C235" s="332" t="str">
        <f>[1]Master!AG43</f>
        <v>NP</v>
      </c>
      <c r="D235" s="337">
        <v>0</v>
      </c>
      <c r="E235" s="337">
        <v>0</v>
      </c>
      <c r="F235" s="337">
        <v>1</v>
      </c>
      <c r="G235" s="337">
        <v>2</v>
      </c>
      <c r="H235" s="337">
        <v>0</v>
      </c>
      <c r="I235" s="337">
        <v>0</v>
      </c>
      <c r="J235" s="337">
        <v>0</v>
      </c>
      <c r="K235" s="337">
        <v>1</v>
      </c>
      <c r="L235" s="346">
        <v>1</v>
      </c>
      <c r="M235" s="346">
        <v>0</v>
      </c>
      <c r="N235" s="346">
        <v>0</v>
      </c>
      <c r="O235" s="346">
        <v>0</v>
      </c>
      <c r="P235" s="337">
        <f>SUM(D235:O235)</f>
        <v>5</v>
      </c>
      <c r="Q235" s="336" t="str">
        <f>[1]Master!AF43</f>
        <v>NEPAL</v>
      </c>
    </row>
    <row r="236" spans="2:17" ht="15.75" thickBot="1" x14ac:dyDescent="0.3">
      <c r="B236" s="336" t="str">
        <f>[1]Master!AF44</f>
        <v>NIGERIA</v>
      </c>
      <c r="C236" s="332" t="str">
        <f>[1]Master!AG44</f>
        <v>NI</v>
      </c>
      <c r="D236" s="337">
        <v>0</v>
      </c>
      <c r="E236" s="337">
        <v>0</v>
      </c>
      <c r="F236" s="337">
        <v>0</v>
      </c>
      <c r="G236" s="337">
        <v>0</v>
      </c>
      <c r="H236" s="337">
        <v>0</v>
      </c>
      <c r="I236" s="337">
        <v>0</v>
      </c>
      <c r="J236" s="337">
        <v>0</v>
      </c>
      <c r="K236" s="347">
        <v>0</v>
      </c>
      <c r="L236" s="337">
        <v>0</v>
      </c>
      <c r="M236" s="337">
        <v>0</v>
      </c>
      <c r="N236" s="337">
        <v>0</v>
      </c>
      <c r="O236" s="337">
        <v>0</v>
      </c>
      <c r="P236" s="337">
        <f>SUM(D236:O236)</f>
        <v>0</v>
      </c>
      <c r="Q236" s="336" t="str">
        <f>[1]Master!AF44</f>
        <v>NIGERIA</v>
      </c>
    </row>
    <row r="237" spans="2:17" ht="15.75" thickBot="1" x14ac:dyDescent="0.3">
      <c r="B237" s="336" t="str">
        <f>[1]Master!AF45</f>
        <v>PAKISTAN</v>
      </c>
      <c r="C237" s="332" t="str">
        <f>[1]Master!AG45</f>
        <v>PK</v>
      </c>
      <c r="D237" s="337">
        <v>0</v>
      </c>
      <c r="E237" s="337">
        <v>0</v>
      </c>
      <c r="F237" s="337">
        <v>0</v>
      </c>
      <c r="G237" s="337">
        <v>0</v>
      </c>
      <c r="H237" s="337">
        <v>0</v>
      </c>
      <c r="I237" s="337">
        <v>0</v>
      </c>
      <c r="J237" s="337">
        <v>0</v>
      </c>
      <c r="K237" s="337">
        <v>0</v>
      </c>
      <c r="L237" s="337">
        <v>0</v>
      </c>
      <c r="M237" s="337">
        <v>0</v>
      </c>
      <c r="N237" s="337">
        <v>0</v>
      </c>
      <c r="O237" s="337">
        <v>0</v>
      </c>
      <c r="P237" s="337">
        <f>SUM(D237:O237)</f>
        <v>0</v>
      </c>
      <c r="Q237" s="336" t="str">
        <f>[1]Master!AF45</f>
        <v>PAKISTAN</v>
      </c>
    </row>
    <row r="238" spans="2:17" ht="15.75" thickBot="1" x14ac:dyDescent="0.3">
      <c r="B238" s="336" t="str">
        <f>[1]Master!AF46</f>
        <v>PITCAIRN ISLANDS</v>
      </c>
      <c r="C238" s="332" t="str">
        <f>[1]Master!AG46</f>
        <v>PN</v>
      </c>
      <c r="D238" s="337">
        <v>0</v>
      </c>
      <c r="E238" s="337">
        <v>0</v>
      </c>
      <c r="F238" s="337">
        <v>0</v>
      </c>
      <c r="G238" s="337">
        <v>0</v>
      </c>
      <c r="H238" s="337">
        <v>0</v>
      </c>
      <c r="I238" s="337">
        <v>0</v>
      </c>
      <c r="J238" s="337">
        <v>0</v>
      </c>
      <c r="K238" s="337">
        <v>0</v>
      </c>
      <c r="L238" s="337">
        <v>0</v>
      </c>
      <c r="M238" s="337">
        <v>0</v>
      </c>
      <c r="N238" s="337">
        <v>0</v>
      </c>
      <c r="O238" s="337">
        <v>0</v>
      </c>
      <c r="P238" s="337">
        <f>SUM(D238:O238)</f>
        <v>0</v>
      </c>
      <c r="Q238" s="336" t="str">
        <f>[1]Master!AF46</f>
        <v>PITCAIRN ISLANDS</v>
      </c>
    </row>
    <row r="239" spans="2:17" ht="15.75" thickBot="1" x14ac:dyDescent="0.3">
      <c r="B239" s="336" t="str">
        <f>[1]Master!AF47</f>
        <v>RWANDA</v>
      </c>
      <c r="C239" s="332" t="str">
        <f>[1]Master!AG47</f>
        <v>RW</v>
      </c>
      <c r="D239" s="337">
        <v>0</v>
      </c>
      <c r="E239" s="337">
        <v>0</v>
      </c>
      <c r="F239" s="337">
        <v>0</v>
      </c>
      <c r="G239" s="337">
        <v>0</v>
      </c>
      <c r="H239" s="337">
        <v>0</v>
      </c>
      <c r="I239" s="337">
        <v>0</v>
      </c>
      <c r="J239" s="337">
        <v>0</v>
      </c>
      <c r="K239" s="337">
        <v>0</v>
      </c>
      <c r="L239" s="337">
        <v>0</v>
      </c>
      <c r="M239" s="337">
        <v>0</v>
      </c>
      <c r="N239" s="337">
        <v>0</v>
      </c>
      <c r="O239" s="337">
        <v>0</v>
      </c>
      <c r="P239" s="337">
        <f>SUM(D239:O239)</f>
        <v>0</v>
      </c>
      <c r="Q239" s="336" t="str">
        <f>[1]Master!AF47</f>
        <v>RWANDA</v>
      </c>
    </row>
    <row r="240" spans="2:17" ht="15.75" thickBot="1" x14ac:dyDescent="0.3">
      <c r="B240" s="336" t="str">
        <f>[1]Master!AF48</f>
        <v>RUSSIA</v>
      </c>
      <c r="C240" s="332" t="str">
        <f>[1]Master!AG48</f>
        <v>RS</v>
      </c>
      <c r="D240" s="337">
        <v>0</v>
      </c>
      <c r="E240" s="337">
        <v>0</v>
      </c>
      <c r="F240" s="337">
        <v>0</v>
      </c>
      <c r="G240" s="337">
        <v>0</v>
      </c>
      <c r="H240" s="337">
        <v>0</v>
      </c>
      <c r="I240" s="337">
        <v>0</v>
      </c>
      <c r="J240" s="337">
        <v>0</v>
      </c>
      <c r="K240" s="337">
        <v>0</v>
      </c>
      <c r="L240" s="337">
        <v>0</v>
      </c>
      <c r="M240" s="337">
        <v>0</v>
      </c>
      <c r="N240" s="337">
        <v>0</v>
      </c>
      <c r="O240" s="337">
        <v>0</v>
      </c>
      <c r="P240" s="337">
        <f>SUM(D240:O240)</f>
        <v>0</v>
      </c>
      <c r="Q240" s="336" t="str">
        <f>[1]Master!AF48</f>
        <v>RUSSIA</v>
      </c>
    </row>
    <row r="241" spans="2:17" ht="15.75" thickBot="1" x14ac:dyDescent="0.3">
      <c r="B241" s="336" t="str">
        <f>[1]Master!AF49</f>
        <v>SIERRA LEON</v>
      </c>
      <c r="C241" s="332" t="str">
        <f>[1]Master!AG49</f>
        <v>SL</v>
      </c>
      <c r="D241" s="337">
        <v>0</v>
      </c>
      <c r="E241" s="337">
        <v>0</v>
      </c>
      <c r="F241" s="337">
        <v>0</v>
      </c>
      <c r="G241" s="337">
        <v>0</v>
      </c>
      <c r="H241" s="337">
        <v>0</v>
      </c>
      <c r="I241" s="337">
        <v>0</v>
      </c>
      <c r="J241" s="337">
        <v>0</v>
      </c>
      <c r="K241" s="337">
        <v>0</v>
      </c>
      <c r="L241" s="337">
        <v>0</v>
      </c>
      <c r="M241" s="337">
        <v>0</v>
      </c>
      <c r="N241" s="337">
        <v>0</v>
      </c>
      <c r="O241" s="337">
        <v>0</v>
      </c>
      <c r="P241" s="337">
        <f>SUM(D241:O241)</f>
        <v>0</v>
      </c>
      <c r="Q241" s="336" t="str">
        <f>[1]Master!AF49</f>
        <v>SIERRA LEON</v>
      </c>
    </row>
    <row r="242" spans="2:17" ht="15.75" thickBot="1" x14ac:dyDescent="0.3">
      <c r="B242" s="336" t="str">
        <f>[1]Master!AF50</f>
        <v>SOMALIA</v>
      </c>
      <c r="C242" s="332" t="str">
        <f>[1]Master!AG50</f>
        <v>SO</v>
      </c>
      <c r="D242" s="337">
        <v>4</v>
      </c>
      <c r="E242" s="337">
        <v>0</v>
      </c>
      <c r="F242" s="337">
        <v>8</v>
      </c>
      <c r="G242" s="337">
        <v>0</v>
      </c>
      <c r="H242" s="337">
        <v>0</v>
      </c>
      <c r="I242" s="337">
        <v>0</v>
      </c>
      <c r="J242" s="337">
        <v>0</v>
      </c>
      <c r="K242" s="337">
        <v>0</v>
      </c>
      <c r="L242" s="337">
        <v>7</v>
      </c>
      <c r="M242" s="337">
        <v>0</v>
      </c>
      <c r="N242" s="337">
        <v>0</v>
      </c>
      <c r="O242" s="337">
        <v>0</v>
      </c>
      <c r="P242" s="337">
        <f>SUM(D242:O242)</f>
        <v>19</v>
      </c>
      <c r="Q242" s="336" t="str">
        <f>[1]Master!AF50</f>
        <v>SOMALIA</v>
      </c>
    </row>
    <row r="243" spans="2:17" ht="15.75" thickBot="1" x14ac:dyDescent="0.3">
      <c r="B243" s="336" t="str">
        <f>[1]Master!AF51</f>
        <v>SPAIN</v>
      </c>
      <c r="C243" s="332" t="str">
        <f>[1]Master!AG51</f>
        <v>ES</v>
      </c>
      <c r="D243" s="337">
        <v>0</v>
      </c>
      <c r="E243" s="337">
        <v>0</v>
      </c>
      <c r="F243" s="337">
        <v>0</v>
      </c>
      <c r="G243" s="337">
        <v>0</v>
      </c>
      <c r="H243" s="337">
        <v>0</v>
      </c>
      <c r="I243" s="337">
        <v>0</v>
      </c>
      <c r="J243" s="337">
        <v>0</v>
      </c>
      <c r="K243" s="337">
        <v>0</v>
      </c>
      <c r="L243" s="337">
        <v>0</v>
      </c>
      <c r="M243" s="337">
        <v>0</v>
      </c>
      <c r="N243" s="337">
        <v>0</v>
      </c>
      <c r="O243" s="337">
        <v>0</v>
      </c>
      <c r="P243" s="337">
        <f>SUM(D243:O243)</f>
        <v>0</v>
      </c>
      <c r="Q243" s="336" t="str">
        <f>[1]Master!AF51</f>
        <v>SPAIN</v>
      </c>
    </row>
    <row r="244" spans="2:17" ht="15.75" thickBot="1" x14ac:dyDescent="0.3">
      <c r="B244" s="336" t="str">
        <f>[1]Master!AF52</f>
        <v>SOUTH SUDAN</v>
      </c>
      <c r="C244" s="332" t="str">
        <f>[1]Master!AG52</f>
        <v>SS</v>
      </c>
      <c r="D244" s="337">
        <v>0</v>
      </c>
      <c r="E244" s="337">
        <v>0</v>
      </c>
      <c r="F244" s="337">
        <v>0</v>
      </c>
      <c r="G244" s="337">
        <v>0</v>
      </c>
      <c r="H244" s="337">
        <v>0</v>
      </c>
      <c r="I244" s="337">
        <v>0</v>
      </c>
      <c r="J244" s="337">
        <v>0</v>
      </c>
      <c r="K244" s="337">
        <v>0</v>
      </c>
      <c r="L244" s="337">
        <v>0</v>
      </c>
      <c r="M244" s="337">
        <v>0</v>
      </c>
      <c r="N244" s="337">
        <v>0</v>
      </c>
      <c r="O244" s="337">
        <v>0</v>
      </c>
      <c r="P244" s="337">
        <f>SUM(D244:O244)</f>
        <v>0</v>
      </c>
      <c r="Q244" s="336" t="str">
        <f>[1]Master!AF52</f>
        <v>SOUTH SUDAN</v>
      </c>
    </row>
    <row r="245" spans="2:17" ht="15.75" thickBot="1" x14ac:dyDescent="0.3">
      <c r="B245" s="336" t="str">
        <f>[1]Master!AF53</f>
        <v>SRI LANKA</v>
      </c>
      <c r="C245" s="332" t="str">
        <f>[1]Master!AG53</f>
        <v>CE</v>
      </c>
      <c r="D245" s="337">
        <v>0</v>
      </c>
      <c r="E245" s="337">
        <v>0</v>
      </c>
      <c r="F245" s="337">
        <v>0</v>
      </c>
      <c r="G245" s="337">
        <v>0</v>
      </c>
      <c r="H245" s="337">
        <v>0</v>
      </c>
      <c r="I245" s="337">
        <v>0</v>
      </c>
      <c r="J245" s="337">
        <v>0</v>
      </c>
      <c r="K245" s="337">
        <v>0</v>
      </c>
      <c r="L245" s="337">
        <v>0</v>
      </c>
      <c r="M245" s="337">
        <v>0</v>
      </c>
      <c r="N245" s="337">
        <v>0</v>
      </c>
      <c r="O245" s="337">
        <v>0</v>
      </c>
      <c r="P245" s="337">
        <f>SUM(D245:O245)</f>
        <v>0</v>
      </c>
      <c r="Q245" s="336" t="str">
        <f>[1]Master!AF53</f>
        <v>SRI LANKA</v>
      </c>
    </row>
    <row r="246" spans="2:17" ht="15.75" thickBot="1" x14ac:dyDescent="0.3">
      <c r="B246" s="336" t="str">
        <f>[1]Master!AF54</f>
        <v>SUDAN</v>
      </c>
      <c r="C246" s="332" t="str">
        <f>[1]Master!AG54</f>
        <v>SU</v>
      </c>
      <c r="D246" s="337">
        <v>0</v>
      </c>
      <c r="E246" s="337">
        <v>0</v>
      </c>
      <c r="F246" s="337">
        <v>0</v>
      </c>
      <c r="G246" s="337">
        <v>0</v>
      </c>
      <c r="H246" s="337">
        <v>0</v>
      </c>
      <c r="I246" s="337">
        <v>0</v>
      </c>
      <c r="J246" s="337">
        <v>0</v>
      </c>
      <c r="K246" s="337">
        <v>0</v>
      </c>
      <c r="L246" s="337">
        <v>0</v>
      </c>
      <c r="M246" s="337">
        <v>0</v>
      </c>
      <c r="N246" s="337">
        <v>0</v>
      </c>
      <c r="O246" s="337">
        <v>0</v>
      </c>
      <c r="P246" s="337">
        <f>SUM(D246:O246)</f>
        <v>0</v>
      </c>
      <c r="Q246" s="336" t="str">
        <f>[1]Master!AF54</f>
        <v>SUDAN</v>
      </c>
    </row>
    <row r="247" spans="2:17" ht="15.75" thickBot="1" x14ac:dyDescent="0.3">
      <c r="B247" s="336" t="str">
        <f>[1]Master!AF55</f>
        <v>SYRIA</v>
      </c>
      <c r="C247" s="332" t="str">
        <f>[1]Master!AG55</f>
        <v>SY</v>
      </c>
      <c r="D247" s="337">
        <v>9</v>
      </c>
      <c r="E247" s="337">
        <v>0</v>
      </c>
      <c r="F247" s="337">
        <v>5</v>
      </c>
      <c r="G247" s="337">
        <v>0</v>
      </c>
      <c r="H247" s="337">
        <v>0</v>
      </c>
      <c r="I247" s="337">
        <v>0</v>
      </c>
      <c r="J247" s="337">
        <v>0</v>
      </c>
      <c r="K247" s="337">
        <v>0</v>
      </c>
      <c r="L247" s="337">
        <v>0</v>
      </c>
      <c r="M247" s="337">
        <v>0</v>
      </c>
      <c r="N247" s="337">
        <v>0</v>
      </c>
      <c r="O247" s="337">
        <v>0</v>
      </c>
      <c r="P247" s="337">
        <f>SUM(D247:O247)</f>
        <v>14</v>
      </c>
      <c r="Q247" s="336" t="str">
        <f>[1]Master!AF55</f>
        <v>SYRIA</v>
      </c>
    </row>
    <row r="248" spans="2:17" ht="15.75" thickBot="1" x14ac:dyDescent="0.3">
      <c r="B248" s="336" t="str">
        <f>[1]Master!AF56</f>
        <v>TAJIKISTAN</v>
      </c>
      <c r="C248" s="332" t="str">
        <f>[1]Master!AG56</f>
        <v>TI</v>
      </c>
      <c r="D248" s="337">
        <v>0</v>
      </c>
      <c r="E248" s="337">
        <v>0</v>
      </c>
      <c r="F248" s="337">
        <v>0</v>
      </c>
      <c r="G248" s="337">
        <v>0</v>
      </c>
      <c r="H248" s="337">
        <v>0</v>
      </c>
      <c r="I248" s="337">
        <v>0</v>
      </c>
      <c r="J248" s="337">
        <v>0</v>
      </c>
      <c r="K248" s="337">
        <v>0</v>
      </c>
      <c r="L248" s="337">
        <v>0</v>
      </c>
      <c r="M248" s="337">
        <v>0</v>
      </c>
      <c r="N248" s="337">
        <v>0</v>
      </c>
      <c r="O248" s="337">
        <v>0</v>
      </c>
      <c r="P248" s="337">
        <f>SUM(D248:O248)</f>
        <v>0</v>
      </c>
      <c r="Q248" s="336" t="str">
        <f>[1]Master!AF56</f>
        <v>TAJIKISTAN</v>
      </c>
    </row>
    <row r="249" spans="2:17" ht="15.75" thickBot="1" x14ac:dyDescent="0.3">
      <c r="B249" s="336" t="str">
        <f>[1]Master!AF57</f>
        <v>TANZANIA</v>
      </c>
      <c r="C249" s="332" t="str">
        <f>[1]Master!AG57</f>
        <v>TZ</v>
      </c>
      <c r="D249" s="337">
        <v>0</v>
      </c>
      <c r="E249" s="337">
        <v>0</v>
      </c>
      <c r="F249" s="337">
        <v>0</v>
      </c>
      <c r="G249" s="337">
        <v>0</v>
      </c>
      <c r="H249" s="337">
        <v>0</v>
      </c>
      <c r="I249" s="337">
        <v>0</v>
      </c>
      <c r="J249" s="337">
        <v>0</v>
      </c>
      <c r="K249" s="337">
        <v>0</v>
      </c>
      <c r="L249" s="337">
        <v>0</v>
      </c>
      <c r="M249" s="337">
        <v>0</v>
      </c>
      <c r="N249" s="337">
        <v>0</v>
      </c>
      <c r="O249" s="337">
        <v>0</v>
      </c>
      <c r="P249" s="337">
        <f>SUM(D249:O249)</f>
        <v>0</v>
      </c>
      <c r="Q249" s="336" t="str">
        <f>[1]Master!AF57</f>
        <v>TANZANIA</v>
      </c>
    </row>
    <row r="250" spans="2:17" ht="15.75" thickBot="1" x14ac:dyDescent="0.3">
      <c r="B250" s="336" t="str">
        <f>[1]Master!AF58</f>
        <v>THAILAND</v>
      </c>
      <c r="C250" s="332" t="str">
        <f>[1]Master!AG58</f>
        <v>TH</v>
      </c>
      <c r="D250" s="337">
        <v>0</v>
      </c>
      <c r="E250" s="337">
        <v>0</v>
      </c>
      <c r="F250" s="337">
        <v>0</v>
      </c>
      <c r="G250" s="337">
        <v>0</v>
      </c>
      <c r="H250" s="337">
        <v>0</v>
      </c>
      <c r="I250" s="337">
        <v>0</v>
      </c>
      <c r="J250" s="337">
        <v>0</v>
      </c>
      <c r="K250" s="337">
        <v>0</v>
      </c>
      <c r="L250" s="337">
        <v>0</v>
      </c>
      <c r="M250" s="337">
        <v>0</v>
      </c>
      <c r="N250" s="337">
        <v>0</v>
      </c>
      <c r="O250" s="337">
        <v>0</v>
      </c>
      <c r="P250" s="337">
        <f>SUM(D250:O250)</f>
        <v>0</v>
      </c>
      <c r="Q250" s="336" t="str">
        <f>[1]Master!AF58</f>
        <v>THAILAND</v>
      </c>
    </row>
    <row r="251" spans="2:17" ht="15.75" thickBot="1" x14ac:dyDescent="0.3">
      <c r="B251" s="336" t="str">
        <f>[1]Master!AF59</f>
        <v>UGANDA</v>
      </c>
      <c r="C251" s="332" t="str">
        <f>[1]Master!AG59</f>
        <v>UG</v>
      </c>
      <c r="D251" s="337">
        <v>0</v>
      </c>
      <c r="E251" s="337">
        <v>0</v>
      </c>
      <c r="F251" s="337">
        <v>0</v>
      </c>
      <c r="G251" s="337">
        <v>0</v>
      </c>
      <c r="H251" s="337">
        <v>0</v>
      </c>
      <c r="I251" s="337">
        <v>0</v>
      </c>
      <c r="J251" s="337">
        <v>0</v>
      </c>
      <c r="K251" s="337">
        <v>0</v>
      </c>
      <c r="L251" s="337">
        <v>0</v>
      </c>
      <c r="M251" s="337">
        <v>0</v>
      </c>
      <c r="N251" s="337">
        <v>0</v>
      </c>
      <c r="O251" s="337">
        <v>0</v>
      </c>
      <c r="P251" s="337">
        <f>SUM(D251:O251)</f>
        <v>0</v>
      </c>
      <c r="Q251" s="336" t="str">
        <f>[1]Master!AF59</f>
        <v>UGANDA</v>
      </c>
    </row>
    <row r="252" spans="2:17" ht="15.75" thickBot="1" x14ac:dyDescent="0.3">
      <c r="B252" s="336" t="str">
        <f>[1]Master!AF60</f>
        <v>UKRAINE</v>
      </c>
      <c r="C252" s="332" t="str">
        <f>[1]Master!AG60</f>
        <v>UP</v>
      </c>
      <c r="D252" s="337">
        <v>0</v>
      </c>
      <c r="E252" s="337">
        <v>0</v>
      </c>
      <c r="F252" s="337">
        <v>0</v>
      </c>
      <c r="G252" s="337">
        <v>0</v>
      </c>
      <c r="H252" s="337">
        <v>0</v>
      </c>
      <c r="I252" s="337">
        <v>0</v>
      </c>
      <c r="J252" s="337">
        <v>0</v>
      </c>
      <c r="K252" s="337">
        <v>0</v>
      </c>
      <c r="L252" s="337">
        <v>0</v>
      </c>
      <c r="M252" s="337">
        <v>0</v>
      </c>
      <c r="N252" s="337">
        <v>0</v>
      </c>
      <c r="O252" s="337">
        <v>0</v>
      </c>
      <c r="P252" s="337">
        <f>SUM(D252:O252)</f>
        <v>0</v>
      </c>
      <c r="Q252" s="336" t="str">
        <f>[1]Master!AF60</f>
        <v>UKRAINE</v>
      </c>
    </row>
    <row r="253" spans="2:17" ht="15.75" thickBot="1" x14ac:dyDescent="0.3">
      <c r="B253" s="336" t="str">
        <f>[1]Master!AF61</f>
        <v>UZBEKISTAN</v>
      </c>
      <c r="C253" s="332" t="str">
        <f>[1]Master!AG61</f>
        <v>UZ</v>
      </c>
      <c r="D253" s="337">
        <v>0</v>
      </c>
      <c r="E253" s="337">
        <v>0</v>
      </c>
      <c r="F253" s="337">
        <v>0</v>
      </c>
      <c r="G253" s="337">
        <v>0</v>
      </c>
      <c r="H253" s="337">
        <v>0</v>
      </c>
      <c r="I253" s="337">
        <v>0</v>
      </c>
      <c r="J253" s="337">
        <v>0</v>
      </c>
      <c r="K253" s="337">
        <v>0</v>
      </c>
      <c r="L253" s="337">
        <v>0</v>
      </c>
      <c r="M253" s="337">
        <v>0</v>
      </c>
      <c r="N253" s="337">
        <v>0</v>
      </c>
      <c r="O253" s="337">
        <v>0</v>
      </c>
      <c r="P253" s="337">
        <f>SUM(D253:O253)</f>
        <v>0</v>
      </c>
      <c r="Q253" s="336" t="str">
        <f>[1]Master!AF61</f>
        <v>UZBEKISTAN</v>
      </c>
    </row>
    <row r="254" spans="2:17" ht="15.75" thickBot="1" x14ac:dyDescent="0.3">
      <c r="B254" s="336" t="str">
        <f>[1]Master!AF62</f>
        <v>VIETNAM</v>
      </c>
      <c r="C254" s="332" t="str">
        <f>[1]Master!AG62</f>
        <v>VM</v>
      </c>
      <c r="D254" s="337">
        <v>0</v>
      </c>
      <c r="E254" s="337">
        <v>0</v>
      </c>
      <c r="F254" s="337">
        <v>0</v>
      </c>
      <c r="G254" s="337">
        <v>0</v>
      </c>
      <c r="H254" s="337">
        <v>0</v>
      </c>
      <c r="I254" s="337">
        <v>0</v>
      </c>
      <c r="J254" s="337">
        <v>0</v>
      </c>
      <c r="K254" s="337">
        <v>0</v>
      </c>
      <c r="L254" s="337">
        <v>0</v>
      </c>
      <c r="M254" s="337">
        <v>0</v>
      </c>
      <c r="N254" s="337">
        <v>0</v>
      </c>
      <c r="O254" s="337">
        <v>0</v>
      </c>
      <c r="P254" s="337">
        <f>SUM(D254:O254)</f>
        <v>0</v>
      </c>
      <c r="Q254" s="336" t="str">
        <f>[1]Master!AF62</f>
        <v>VIETNAM</v>
      </c>
    </row>
    <row r="255" spans="2:17" ht="15.75" thickBot="1" x14ac:dyDescent="0.3">
      <c r="B255" s="336" t="str">
        <f>[1]Master!AF63</f>
        <v>ZAMBIA</v>
      </c>
      <c r="C255" s="332" t="str">
        <f>[1]Master!AG63</f>
        <v>ZA</v>
      </c>
      <c r="D255" s="337">
        <v>0</v>
      </c>
      <c r="E255" s="337">
        <v>0</v>
      </c>
      <c r="F255" s="337">
        <v>0</v>
      </c>
      <c r="G255" s="337">
        <v>0</v>
      </c>
      <c r="H255" s="337">
        <v>0</v>
      </c>
      <c r="I255" s="337">
        <v>0</v>
      </c>
      <c r="J255" s="337">
        <v>0</v>
      </c>
      <c r="K255" s="337">
        <v>0</v>
      </c>
      <c r="L255" s="337">
        <v>0</v>
      </c>
      <c r="M255" s="337">
        <v>0</v>
      </c>
      <c r="N255" s="337">
        <v>0</v>
      </c>
      <c r="O255" s="337">
        <v>0</v>
      </c>
      <c r="P255" s="337">
        <f>SUM(D255:O255)</f>
        <v>0</v>
      </c>
      <c r="Q255" s="336" t="str">
        <f>[1]Master!AF63</f>
        <v>ZAMBIA</v>
      </c>
    </row>
    <row r="256" spans="2:17" ht="15.75" thickBot="1" x14ac:dyDescent="0.3">
      <c r="B256" s="339" t="s">
        <v>53</v>
      </c>
      <c r="C256" s="340"/>
      <c r="D256" s="341">
        <f>SUM(D197:D255)</f>
        <v>37</v>
      </c>
      <c r="E256" s="341">
        <f>SUM(E197:E255)</f>
        <v>20</v>
      </c>
      <c r="F256" s="341">
        <f>SUM(F197:F255)</f>
        <v>28</v>
      </c>
      <c r="G256" s="341">
        <f>SUM(G197:G255)</f>
        <v>19</v>
      </c>
      <c r="H256" s="341">
        <f>SUM(H197:H255)</f>
        <v>0</v>
      </c>
      <c r="I256" s="341">
        <f>SUM(I197:I255)</f>
        <v>5</v>
      </c>
      <c r="J256" s="341">
        <f>SUM(J197:J255)</f>
        <v>6</v>
      </c>
      <c r="K256" s="341">
        <f>SUM(K197:K255)</f>
        <v>25</v>
      </c>
      <c r="L256" s="341">
        <f>SUM(L197:L255)</f>
        <v>20</v>
      </c>
      <c r="M256" s="341">
        <f>SUM(M197:M255)</f>
        <v>9</v>
      </c>
      <c r="N256" s="341">
        <f>SUM(N197:N255)</f>
        <v>5</v>
      </c>
      <c r="O256" s="341">
        <v>13</v>
      </c>
      <c r="P256" s="341">
        <f>SUM(P197:P255)</f>
        <v>187</v>
      </c>
      <c r="Q256" s="342" t="s">
        <v>53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workbookViewId="0">
      <selection activeCell="T64" sqref="T64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1:18" ht="10.5" customHeight="1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thickBot="1" x14ac:dyDescent="0.3">
      <c r="A2" s="55"/>
      <c r="B2" s="366" t="s">
        <v>56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  <c r="R2" s="55"/>
    </row>
    <row r="3" spans="1:18" ht="13.5" customHeight="1" thickBot="1" x14ac:dyDescent="0.3">
      <c r="A3" s="55"/>
      <c r="B3" s="369"/>
      <c r="C3" s="370"/>
      <c r="D3" s="211" t="s">
        <v>19</v>
      </c>
      <c r="E3" s="211" t="s">
        <v>20</v>
      </c>
      <c r="F3" s="211" t="s">
        <v>21</v>
      </c>
      <c r="G3" s="211" t="s">
        <v>22</v>
      </c>
      <c r="H3" s="211" t="s">
        <v>23</v>
      </c>
      <c r="I3" s="211" t="s">
        <v>24</v>
      </c>
      <c r="J3" s="211" t="s">
        <v>25</v>
      </c>
      <c r="K3" s="211" t="s">
        <v>26</v>
      </c>
      <c r="L3" s="211" t="s">
        <v>27</v>
      </c>
      <c r="M3" s="211" t="s">
        <v>28</v>
      </c>
      <c r="N3" s="211" t="s">
        <v>29</v>
      </c>
      <c r="O3" s="211" t="s">
        <v>30</v>
      </c>
      <c r="P3" s="381" t="s">
        <v>40</v>
      </c>
      <c r="Q3" s="375"/>
      <c r="R3" s="55"/>
    </row>
    <row r="4" spans="1:18" ht="13.5" customHeight="1" thickBot="1" x14ac:dyDescent="0.3">
      <c r="A4" s="55"/>
      <c r="B4" s="371"/>
      <c r="C4" s="372"/>
      <c r="D4" s="151">
        <v>10</v>
      </c>
      <c r="E4" s="52">
        <v>11</v>
      </c>
      <c r="F4" s="52">
        <v>12</v>
      </c>
      <c r="G4" s="52">
        <v>1</v>
      </c>
      <c r="H4" s="52">
        <v>2</v>
      </c>
      <c r="I4" s="52">
        <v>3</v>
      </c>
      <c r="J4" s="52">
        <v>4</v>
      </c>
      <c r="K4" s="52">
        <v>5</v>
      </c>
      <c r="L4" s="52">
        <v>6</v>
      </c>
      <c r="M4" s="52">
        <v>7</v>
      </c>
      <c r="N4" s="52">
        <v>8</v>
      </c>
      <c r="O4" s="52">
        <v>9</v>
      </c>
      <c r="P4" s="382"/>
      <c r="Q4" s="376"/>
      <c r="R4" s="55"/>
    </row>
    <row r="5" spans="1:18" ht="15.75" thickBot="1" x14ac:dyDescent="0.3">
      <c r="A5" s="55"/>
      <c r="B5" s="152" t="str">
        <f>Master!AF7</f>
        <v>AFGHANISTAN</v>
      </c>
      <c r="C5" s="151" t="str">
        <f>Master!AG7</f>
        <v>AF</v>
      </c>
      <c r="D5" s="258">
        <v>6</v>
      </c>
      <c r="E5" s="66">
        <v>4</v>
      </c>
      <c r="F5" s="258">
        <v>3</v>
      </c>
      <c r="G5" s="258">
        <v>3</v>
      </c>
      <c r="H5" s="258">
        <v>6</v>
      </c>
      <c r="I5" s="258">
        <v>4</v>
      </c>
      <c r="J5" s="258">
        <v>1</v>
      </c>
      <c r="K5" s="258">
        <v>4</v>
      </c>
      <c r="L5" s="258">
        <v>5</v>
      </c>
      <c r="M5" s="258">
        <v>0</v>
      </c>
      <c r="N5" s="258">
        <v>0</v>
      </c>
      <c r="O5" s="258">
        <v>0</v>
      </c>
      <c r="P5" s="258">
        <f>SUM(D5:O5)</f>
        <v>36</v>
      </c>
      <c r="Q5" s="152" t="str">
        <f>Master!AF7</f>
        <v>AFGHANISTAN</v>
      </c>
      <c r="R5" s="55"/>
    </row>
    <row r="6" spans="1:18" ht="15.75" thickBot="1" x14ac:dyDescent="0.3">
      <c r="A6" s="55"/>
      <c r="B6" s="152" t="str">
        <f>Master!AF8</f>
        <v>ARMENIA</v>
      </c>
      <c r="C6" s="151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5" si="0">SUM(D6:O6)</f>
        <v>0</v>
      </c>
      <c r="Q6" s="152" t="str">
        <f>Master!AF8</f>
        <v>ARMENIA</v>
      </c>
      <c r="R6" s="55"/>
    </row>
    <row r="7" spans="1:18" ht="15.75" thickBot="1" x14ac:dyDescent="0.3">
      <c r="A7" s="55"/>
      <c r="B7" s="152" t="s">
        <v>780</v>
      </c>
      <c r="C7" s="151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152" t="s">
        <v>780</v>
      </c>
    </row>
    <row r="8" spans="1:18" ht="15.75" thickBot="1" x14ac:dyDescent="0.3">
      <c r="A8" s="55"/>
      <c r="B8" s="152" t="str">
        <f>Master!AF10</f>
        <v>BELARUS</v>
      </c>
      <c r="C8" s="151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5</v>
      </c>
      <c r="P8" s="258">
        <f t="shared" si="0"/>
        <v>5</v>
      </c>
      <c r="Q8" s="152" t="str">
        <f>Master!AF10</f>
        <v>BELARUS</v>
      </c>
      <c r="R8" s="55"/>
    </row>
    <row r="9" spans="1:18" ht="15.75" thickBot="1" x14ac:dyDescent="0.3">
      <c r="A9" s="55"/>
      <c r="B9" s="152" t="str">
        <f>Master!AF11</f>
        <v>BURMA</v>
      </c>
      <c r="C9" s="151" t="str">
        <f>Master!AG11</f>
        <v>BM</v>
      </c>
      <c r="D9" s="258">
        <v>1</v>
      </c>
      <c r="E9" s="258">
        <v>6</v>
      </c>
      <c r="F9" s="258">
        <v>5</v>
      </c>
      <c r="G9" s="258">
        <v>5</v>
      </c>
      <c r="H9" s="258">
        <v>0</v>
      </c>
      <c r="I9" s="258">
        <v>3</v>
      </c>
      <c r="J9" s="258">
        <v>3</v>
      </c>
      <c r="K9" s="258">
        <v>2</v>
      </c>
      <c r="L9" s="258">
        <v>0</v>
      </c>
      <c r="M9" s="258">
        <v>0</v>
      </c>
      <c r="N9" s="258">
        <v>0</v>
      </c>
      <c r="O9" s="258">
        <v>30</v>
      </c>
      <c r="P9" s="258">
        <f t="shared" si="0"/>
        <v>55</v>
      </c>
      <c r="Q9" s="152" t="str">
        <f>Master!AF11</f>
        <v>BURMA</v>
      </c>
      <c r="R9" s="55"/>
    </row>
    <row r="10" spans="1:18" ht="15.75" thickBot="1" x14ac:dyDescent="0.3">
      <c r="A10" s="55"/>
      <c r="B10" s="152" t="str">
        <f>Master!AF12</f>
        <v>BHUTAN</v>
      </c>
      <c r="C10" s="151" t="str">
        <f>Master!AG12</f>
        <v>BT</v>
      </c>
      <c r="D10" s="258">
        <v>16</v>
      </c>
      <c r="E10" s="258">
        <v>10</v>
      </c>
      <c r="F10" s="258">
        <v>20</v>
      </c>
      <c r="G10" s="258">
        <v>4</v>
      </c>
      <c r="H10" s="258">
        <v>3</v>
      </c>
      <c r="I10" s="258">
        <v>0</v>
      </c>
      <c r="J10" s="258">
        <v>5</v>
      </c>
      <c r="K10" s="258">
        <v>14</v>
      </c>
      <c r="L10" s="258">
        <v>4</v>
      </c>
      <c r="M10" s="258">
        <v>0</v>
      </c>
      <c r="N10" s="258">
        <v>3</v>
      </c>
      <c r="O10" s="258">
        <v>0</v>
      </c>
      <c r="P10" s="258">
        <f t="shared" si="0"/>
        <v>79</v>
      </c>
      <c r="Q10" s="152" t="str">
        <f>Master!AF12</f>
        <v>BHUTAN</v>
      </c>
      <c r="R10" s="55"/>
    </row>
    <row r="11" spans="1:18" ht="15.75" thickBot="1" x14ac:dyDescent="0.3">
      <c r="A11" s="55"/>
      <c r="B11" s="152" t="s">
        <v>779</v>
      </c>
      <c r="C11" s="151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2" t="s">
        <v>779</v>
      </c>
    </row>
    <row r="12" spans="1:18" ht="15.75" thickBot="1" x14ac:dyDescent="0.3">
      <c r="A12" s="55"/>
      <c r="B12" s="152" t="str">
        <f>Master!AF14</f>
        <v>BURUNDI</v>
      </c>
      <c r="C12" s="151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2" t="str">
        <f>Master!AF14</f>
        <v>BURUNDI</v>
      </c>
      <c r="R12" s="55"/>
    </row>
    <row r="13" spans="1:18" ht="15.75" thickBot="1" x14ac:dyDescent="0.3">
      <c r="A13" s="55"/>
      <c r="B13" s="152" t="str">
        <f>Master!AF15</f>
        <v>CAMEROUN</v>
      </c>
      <c r="C13" s="151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152" t="str">
        <f>Master!AF15</f>
        <v>CAMEROUN</v>
      </c>
      <c r="R13" s="55"/>
    </row>
    <row r="14" spans="1:18" ht="15.75" thickBot="1" x14ac:dyDescent="0.3">
      <c r="A14" s="55"/>
      <c r="B14" s="152" t="str">
        <f>Master!AF16</f>
        <v>CENTRAL AFR REP</v>
      </c>
      <c r="C14" s="151" t="str">
        <f>Master!AG16</f>
        <v>CT</v>
      </c>
      <c r="D14" s="258">
        <v>0</v>
      </c>
      <c r="E14" s="258">
        <v>0</v>
      </c>
      <c r="F14" s="258">
        <v>1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8</v>
      </c>
      <c r="P14" s="258">
        <f t="shared" si="0"/>
        <v>9</v>
      </c>
      <c r="Q14" s="152" t="str">
        <f>Master!AF16</f>
        <v>CENTRAL AFR REP</v>
      </c>
      <c r="R14" s="55"/>
    </row>
    <row r="15" spans="1:18" ht="15.75" thickBot="1" x14ac:dyDescent="0.3">
      <c r="A15" s="55"/>
      <c r="B15" s="152" t="str">
        <f>Master!AF17</f>
        <v>CHINA</v>
      </c>
      <c r="C15" s="151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52" t="str">
        <f>Master!AF17</f>
        <v>CHINA</v>
      </c>
      <c r="R15" s="55"/>
    </row>
    <row r="16" spans="1:18" ht="15.75" thickBot="1" x14ac:dyDescent="0.3">
      <c r="A16" s="55"/>
      <c r="B16" s="152" t="str">
        <f>Master!AF18</f>
        <v>DEM REP OF CONGO</v>
      </c>
      <c r="C16" s="151" t="str">
        <f>Master!AG18</f>
        <v>CG</v>
      </c>
      <c r="D16" s="258">
        <v>20</v>
      </c>
      <c r="E16" s="258">
        <v>45</v>
      </c>
      <c r="F16" s="258">
        <v>6</v>
      </c>
      <c r="G16" s="258">
        <v>9</v>
      </c>
      <c r="H16" s="258">
        <v>0</v>
      </c>
      <c r="I16" s="258">
        <v>5</v>
      </c>
      <c r="J16" s="258">
        <v>17</v>
      </c>
      <c r="K16" s="258">
        <v>39</v>
      </c>
      <c r="L16" s="258">
        <v>7</v>
      </c>
      <c r="M16" s="258">
        <v>0</v>
      </c>
      <c r="N16" s="258">
        <v>0</v>
      </c>
      <c r="O16" s="258">
        <v>0</v>
      </c>
      <c r="P16" s="258">
        <f t="shared" si="0"/>
        <v>148</v>
      </c>
      <c r="Q16" s="152" t="str">
        <f>Master!AF18</f>
        <v>DEM REP OF CONGO</v>
      </c>
      <c r="R16" s="55"/>
    </row>
    <row r="17" spans="1:18" ht="15.75" thickBot="1" x14ac:dyDescent="0.3">
      <c r="A17" s="55"/>
      <c r="B17" s="152" t="str">
        <f>Master!AF19</f>
        <v>COLUMBIA</v>
      </c>
      <c r="C17" s="151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9</v>
      </c>
      <c r="P17" s="258">
        <f t="shared" si="0"/>
        <v>9</v>
      </c>
      <c r="Q17" s="152" t="str">
        <f>Master!AF19</f>
        <v>COLUMBIA</v>
      </c>
      <c r="R17" s="55"/>
    </row>
    <row r="18" spans="1:18" ht="15.75" thickBot="1" x14ac:dyDescent="0.3">
      <c r="A18" s="55"/>
      <c r="B18" s="152" t="str">
        <f>Master!AF20</f>
        <v>CONGO</v>
      </c>
      <c r="C18" s="151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52" t="str">
        <f>Master!AF20</f>
        <v>CONGO</v>
      </c>
      <c r="R18" s="55"/>
    </row>
    <row r="19" spans="1:18" ht="15.75" thickBot="1" x14ac:dyDescent="0.3">
      <c r="A19" s="55"/>
      <c r="B19" s="152" t="str">
        <f>Master!AF21</f>
        <v>CUBA</v>
      </c>
      <c r="C19" s="151" t="str">
        <f>Master!AG21</f>
        <v>CU</v>
      </c>
      <c r="D19" s="258">
        <v>31</v>
      </c>
      <c r="E19" s="258">
        <v>19</v>
      </c>
      <c r="F19" s="258">
        <v>55</v>
      </c>
      <c r="G19" s="258">
        <v>13</v>
      </c>
      <c r="H19" s="258">
        <v>18</v>
      </c>
      <c r="I19" s="258">
        <v>21</v>
      </c>
      <c r="J19" s="258">
        <v>17</v>
      </c>
      <c r="K19" s="258">
        <v>15</v>
      </c>
      <c r="L19" s="258">
        <v>9</v>
      </c>
      <c r="M19" s="258">
        <v>2</v>
      </c>
      <c r="N19" s="258">
        <v>1</v>
      </c>
      <c r="O19" s="258">
        <v>0</v>
      </c>
      <c r="P19" s="258">
        <f t="shared" si="0"/>
        <v>201</v>
      </c>
      <c r="Q19" s="152" t="str">
        <f>Master!AF21</f>
        <v>CUBA</v>
      </c>
      <c r="R19" s="55"/>
    </row>
    <row r="20" spans="1:18" ht="15.75" thickBot="1" x14ac:dyDescent="0.3">
      <c r="A20" s="55"/>
      <c r="B20" s="152" t="str">
        <f>Master!AF22</f>
        <v>CUBAN ENTRANT</v>
      </c>
      <c r="C20" s="151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52" t="str">
        <f>Master!AF22</f>
        <v>CUBAN ENTRANT</v>
      </c>
      <c r="R20" s="55"/>
    </row>
    <row r="21" spans="1:18" ht="15.75" thickBot="1" x14ac:dyDescent="0.3">
      <c r="A21" s="55"/>
      <c r="B21" s="152" t="str">
        <f>Master!AF23</f>
        <v>ECUADOR</v>
      </c>
      <c r="C21" s="151" t="str">
        <f>Master!AG23</f>
        <v>EC</v>
      </c>
      <c r="D21" s="66">
        <v>0</v>
      </c>
      <c r="E21" s="66">
        <v>0</v>
      </c>
      <c r="F21" s="66">
        <v>0</v>
      </c>
      <c r="G21" s="257">
        <v>0</v>
      </c>
      <c r="H21" s="66">
        <v>0</v>
      </c>
      <c r="I21" s="66">
        <v>0</v>
      </c>
      <c r="J21" s="66">
        <v>0</v>
      </c>
      <c r="K21" s="258">
        <v>0</v>
      </c>
      <c r="L21" s="66">
        <v>0</v>
      </c>
      <c r="M21" s="66">
        <v>0</v>
      </c>
      <c r="N21" s="66">
        <v>0</v>
      </c>
      <c r="O21" s="66">
        <v>0</v>
      </c>
      <c r="P21" s="258">
        <f t="shared" si="0"/>
        <v>0</v>
      </c>
      <c r="Q21" s="152" t="str">
        <f>Master!AF23</f>
        <v>ECUADOR</v>
      </c>
      <c r="R21" s="55"/>
    </row>
    <row r="22" spans="1:18" ht="15.75" thickBot="1" x14ac:dyDescent="0.3">
      <c r="A22" s="55"/>
      <c r="B22" s="152" t="str">
        <f>Master!AF24</f>
        <v>EGYPT</v>
      </c>
      <c r="C22" s="151" t="str">
        <f>Master!AG24</f>
        <v>EG</v>
      </c>
      <c r="D22" s="66">
        <v>0</v>
      </c>
      <c r="E22" s="66">
        <v>0</v>
      </c>
      <c r="F22" s="66">
        <v>0</v>
      </c>
      <c r="G22" s="257">
        <v>0</v>
      </c>
      <c r="H22" s="66">
        <v>0</v>
      </c>
      <c r="I22" s="66">
        <v>0</v>
      </c>
      <c r="J22" s="66">
        <v>0</v>
      </c>
      <c r="K22" s="258">
        <v>0</v>
      </c>
      <c r="L22" s="66">
        <v>0</v>
      </c>
      <c r="M22" s="66">
        <v>0</v>
      </c>
      <c r="N22" s="66">
        <v>0</v>
      </c>
      <c r="O22" s="66">
        <v>0</v>
      </c>
      <c r="P22" s="258">
        <f t="shared" si="0"/>
        <v>0</v>
      </c>
      <c r="Q22" s="152" t="str">
        <f>Master!AF24</f>
        <v>EGYPT</v>
      </c>
      <c r="R22" s="55"/>
    </row>
    <row r="23" spans="1:18" ht="15.75" thickBot="1" x14ac:dyDescent="0.3">
      <c r="A23" s="55"/>
      <c r="B23" s="152" t="str">
        <f>Master!AF25</f>
        <v>ERITREA</v>
      </c>
      <c r="C23" s="151" t="str">
        <f>Master!AG25</f>
        <v>ER</v>
      </c>
      <c r="D23" s="66">
        <v>0</v>
      </c>
      <c r="E23" s="66">
        <v>0</v>
      </c>
      <c r="F23" s="66">
        <v>0</v>
      </c>
      <c r="G23" s="257">
        <v>1</v>
      </c>
      <c r="H23" s="66">
        <v>0</v>
      </c>
      <c r="I23" s="66">
        <v>0</v>
      </c>
      <c r="J23" s="66">
        <v>3</v>
      </c>
      <c r="K23" s="258">
        <v>14</v>
      </c>
      <c r="L23" s="66">
        <v>0</v>
      </c>
      <c r="M23" s="66">
        <v>0</v>
      </c>
      <c r="N23" s="66">
        <v>0</v>
      </c>
      <c r="O23" s="66">
        <v>0</v>
      </c>
      <c r="P23" s="258">
        <f t="shared" si="0"/>
        <v>18</v>
      </c>
      <c r="Q23" s="152" t="str">
        <f>Master!AF25</f>
        <v>ERITREA</v>
      </c>
      <c r="R23" s="55"/>
    </row>
    <row r="24" spans="1:18" ht="15.75" thickBot="1" x14ac:dyDescent="0.3">
      <c r="A24" s="55"/>
      <c r="B24" s="152" t="str">
        <f>Master!AF26</f>
        <v>ETHIOPIA</v>
      </c>
      <c r="C24" s="151" t="str">
        <f>Master!AG26</f>
        <v>ET</v>
      </c>
      <c r="D24" s="66">
        <v>0</v>
      </c>
      <c r="E24" s="66">
        <v>0</v>
      </c>
      <c r="F24" s="66">
        <v>0</v>
      </c>
      <c r="G24" s="257">
        <v>5</v>
      </c>
      <c r="H24" s="66">
        <v>0</v>
      </c>
      <c r="I24" s="66">
        <v>0</v>
      </c>
      <c r="J24" s="66">
        <v>0</v>
      </c>
      <c r="K24" s="258">
        <v>0</v>
      </c>
      <c r="L24" s="66">
        <v>0</v>
      </c>
      <c r="M24" s="66">
        <v>0</v>
      </c>
      <c r="N24" s="66">
        <v>0</v>
      </c>
      <c r="O24" s="66">
        <v>0</v>
      </c>
      <c r="P24" s="258">
        <f t="shared" si="0"/>
        <v>5</v>
      </c>
      <c r="Q24" s="152" t="str">
        <f>Master!AF26</f>
        <v>ETHIOPIA</v>
      </c>
      <c r="R24" s="55"/>
    </row>
    <row r="25" spans="1:18" ht="15.75" thickBot="1" x14ac:dyDescent="0.3">
      <c r="A25" s="55"/>
      <c r="B25" s="152" t="str">
        <f>Master!AF27</f>
        <v>FRANCE</v>
      </c>
      <c r="C25" s="151" t="str">
        <f>Master!AG27</f>
        <v>FR</v>
      </c>
      <c r="D25" s="66">
        <v>0</v>
      </c>
      <c r="E25" s="66">
        <v>0</v>
      </c>
      <c r="F25" s="66">
        <v>0</v>
      </c>
      <c r="G25" s="257">
        <v>0</v>
      </c>
      <c r="H25" s="66">
        <v>0</v>
      </c>
      <c r="I25" s="66">
        <v>0</v>
      </c>
      <c r="J25" s="66">
        <v>0</v>
      </c>
      <c r="K25" s="258">
        <v>0</v>
      </c>
      <c r="L25" s="66">
        <v>0</v>
      </c>
      <c r="M25" s="66">
        <v>0</v>
      </c>
      <c r="N25" s="66">
        <v>0</v>
      </c>
      <c r="O25" s="66">
        <v>2</v>
      </c>
      <c r="P25" s="258">
        <f t="shared" si="0"/>
        <v>2</v>
      </c>
      <c r="Q25" s="152" t="str">
        <f>Master!AF27</f>
        <v>FRANCE</v>
      </c>
      <c r="R25" s="55"/>
    </row>
    <row r="26" spans="1:18" ht="15.75" thickBot="1" x14ac:dyDescent="0.3">
      <c r="A26" s="55"/>
      <c r="B26" s="152" t="str">
        <f>Master!AF28</f>
        <v>GUINEA</v>
      </c>
      <c r="C26" s="151" t="str">
        <f>Master!AG28</f>
        <v>GV</v>
      </c>
      <c r="D26" s="66">
        <v>0</v>
      </c>
      <c r="E26" s="66">
        <v>0</v>
      </c>
      <c r="F26" s="66">
        <v>0</v>
      </c>
      <c r="G26" s="257">
        <v>0</v>
      </c>
      <c r="H26" s="66">
        <v>0</v>
      </c>
      <c r="I26" s="66">
        <v>0</v>
      </c>
      <c r="J26" s="66">
        <v>0</v>
      </c>
      <c r="K26" s="258">
        <v>0</v>
      </c>
      <c r="L26" s="66">
        <v>0</v>
      </c>
      <c r="M26" s="66">
        <v>0</v>
      </c>
      <c r="N26" s="66">
        <v>0</v>
      </c>
      <c r="O26" s="66">
        <v>1</v>
      </c>
      <c r="P26" s="258">
        <f t="shared" si="0"/>
        <v>1</v>
      </c>
      <c r="Q26" s="152" t="str">
        <f>Master!AF28</f>
        <v>GUINEA</v>
      </c>
      <c r="R26" s="55"/>
    </row>
    <row r="27" spans="1:18" ht="15.75" thickBot="1" x14ac:dyDescent="0.3">
      <c r="A27" s="55"/>
      <c r="B27" s="152" t="str">
        <f>Master!AF29</f>
        <v>HAITI</v>
      </c>
      <c r="C27" s="151" t="str">
        <f>Master!AG29</f>
        <v>HA</v>
      </c>
      <c r="D27" s="66">
        <v>0</v>
      </c>
      <c r="E27" s="66">
        <v>0</v>
      </c>
      <c r="F27" s="66">
        <v>0</v>
      </c>
      <c r="G27" s="257">
        <v>0</v>
      </c>
      <c r="H27" s="66">
        <v>19</v>
      </c>
      <c r="I27" s="66">
        <v>6</v>
      </c>
      <c r="J27" s="66">
        <v>7</v>
      </c>
      <c r="K27" s="258">
        <v>8</v>
      </c>
      <c r="L27" s="66">
        <v>13</v>
      </c>
      <c r="M27" s="66">
        <v>2</v>
      </c>
      <c r="N27" s="66">
        <v>4</v>
      </c>
      <c r="O27" s="66">
        <v>0</v>
      </c>
      <c r="P27" s="258">
        <f t="shared" si="0"/>
        <v>59</v>
      </c>
      <c r="Q27" s="152" t="str">
        <f>Master!AF29</f>
        <v>HAITI</v>
      </c>
      <c r="R27" s="55"/>
    </row>
    <row r="28" spans="1:18" ht="15.75" thickBot="1" x14ac:dyDescent="0.3">
      <c r="A28" s="55"/>
      <c r="B28" s="152" t="str">
        <f>Master!AF30</f>
        <v>INDIA</v>
      </c>
      <c r="C28" s="151" t="str">
        <f>Master!AG30</f>
        <v>IN</v>
      </c>
      <c r="D28" s="66">
        <v>1</v>
      </c>
      <c r="E28" s="66">
        <v>0</v>
      </c>
      <c r="F28" s="66">
        <v>1</v>
      </c>
      <c r="G28" s="257">
        <v>0</v>
      </c>
      <c r="H28" s="66">
        <v>0</v>
      </c>
      <c r="I28" s="66">
        <v>0</v>
      </c>
      <c r="J28" s="66">
        <v>0</v>
      </c>
      <c r="K28" s="258">
        <v>0</v>
      </c>
      <c r="L28" s="66">
        <v>0</v>
      </c>
      <c r="M28" s="66">
        <v>0</v>
      </c>
      <c r="N28" s="66">
        <v>1</v>
      </c>
      <c r="O28" s="66">
        <v>0</v>
      </c>
      <c r="P28" s="258">
        <f t="shared" si="0"/>
        <v>3</v>
      </c>
      <c r="Q28" s="152" t="str">
        <f>Master!AF30</f>
        <v>INDIA</v>
      </c>
      <c r="R28" s="55"/>
    </row>
    <row r="29" spans="1:18" ht="15.75" thickBot="1" x14ac:dyDescent="0.3">
      <c r="A29" s="55"/>
      <c r="B29" s="152" t="str">
        <f>Master!AF31</f>
        <v>INDONESIA</v>
      </c>
      <c r="C29" s="151" t="str">
        <f>Master!AG31</f>
        <v>ID</v>
      </c>
      <c r="D29" s="66">
        <v>0</v>
      </c>
      <c r="E29" s="66">
        <v>0</v>
      </c>
      <c r="F29" s="66">
        <v>0</v>
      </c>
      <c r="G29" s="257">
        <v>0</v>
      </c>
      <c r="H29" s="66">
        <v>0</v>
      </c>
      <c r="I29" s="66">
        <v>0</v>
      </c>
      <c r="J29" s="66">
        <v>0</v>
      </c>
      <c r="K29" s="258">
        <v>0</v>
      </c>
      <c r="L29" s="66">
        <v>0</v>
      </c>
      <c r="M29" s="66">
        <v>0</v>
      </c>
      <c r="N29" s="66">
        <v>0</v>
      </c>
      <c r="O29" s="66">
        <v>0</v>
      </c>
      <c r="P29" s="258">
        <f t="shared" si="0"/>
        <v>0</v>
      </c>
      <c r="Q29" s="152" t="str">
        <f>Master!AF31</f>
        <v>INDONESIA</v>
      </c>
      <c r="R29" s="55"/>
    </row>
    <row r="30" spans="1:18" ht="15.75" thickBot="1" x14ac:dyDescent="0.3">
      <c r="A30" s="55"/>
      <c r="B30" s="152" t="str">
        <f>Master!AF32</f>
        <v>IRAN</v>
      </c>
      <c r="C30" s="151" t="str">
        <f>Master!AG32</f>
        <v>IR</v>
      </c>
      <c r="D30" s="66">
        <v>0</v>
      </c>
      <c r="E30" s="66">
        <v>0</v>
      </c>
      <c r="F30" s="66">
        <v>0</v>
      </c>
      <c r="G30" s="257">
        <v>0</v>
      </c>
      <c r="H30" s="66">
        <v>0</v>
      </c>
      <c r="I30" s="66">
        <v>0</v>
      </c>
      <c r="J30" s="66">
        <v>0</v>
      </c>
      <c r="K30" s="258">
        <v>0</v>
      </c>
      <c r="L30" s="66">
        <v>0</v>
      </c>
      <c r="M30" s="66">
        <v>0</v>
      </c>
      <c r="N30" s="66">
        <v>0</v>
      </c>
      <c r="O30" s="66">
        <v>0</v>
      </c>
      <c r="P30" s="258">
        <f t="shared" si="0"/>
        <v>0</v>
      </c>
      <c r="Q30" s="152" t="str">
        <f>Master!AF32</f>
        <v>IRAN</v>
      </c>
      <c r="R30" s="55"/>
    </row>
    <row r="31" spans="1:18" ht="15.75" thickBot="1" x14ac:dyDescent="0.3">
      <c r="A31" s="55"/>
      <c r="B31" s="152" t="str">
        <f>Master!AF33</f>
        <v>IRAQ</v>
      </c>
      <c r="C31" s="151" t="str">
        <f>Master!AG33</f>
        <v>IZ</v>
      </c>
      <c r="D31" s="66">
        <v>0</v>
      </c>
      <c r="E31" s="66">
        <v>1</v>
      </c>
      <c r="F31" s="66">
        <v>5</v>
      </c>
      <c r="G31" s="257">
        <v>4</v>
      </c>
      <c r="H31" s="66">
        <v>7</v>
      </c>
      <c r="I31" s="66">
        <v>0</v>
      </c>
      <c r="J31" s="66">
        <v>0</v>
      </c>
      <c r="K31" s="258">
        <v>10</v>
      </c>
      <c r="L31" s="66">
        <v>0</v>
      </c>
      <c r="M31" s="66">
        <v>0</v>
      </c>
      <c r="N31" s="66">
        <v>1</v>
      </c>
      <c r="O31" s="66">
        <v>0</v>
      </c>
      <c r="P31" s="258">
        <f t="shared" si="0"/>
        <v>28</v>
      </c>
      <c r="Q31" s="152" t="str">
        <f>Master!AF33</f>
        <v>IRAQ</v>
      </c>
      <c r="R31" s="55"/>
    </row>
    <row r="32" spans="1:18" ht="15.75" thickBot="1" x14ac:dyDescent="0.3">
      <c r="A32" s="55"/>
      <c r="B32" s="152" t="str">
        <f>Master!AF34</f>
        <v>IVORY COAST</v>
      </c>
      <c r="C32" s="151" t="str">
        <f>Master!AG34</f>
        <v>IV</v>
      </c>
      <c r="D32" s="66">
        <v>0</v>
      </c>
      <c r="E32" s="66">
        <v>0</v>
      </c>
      <c r="F32" s="66">
        <v>0</v>
      </c>
      <c r="G32" s="257">
        <v>0</v>
      </c>
      <c r="H32" s="66">
        <v>0</v>
      </c>
      <c r="I32" s="66">
        <v>0</v>
      </c>
      <c r="J32" s="66">
        <v>0</v>
      </c>
      <c r="K32" s="258">
        <v>0</v>
      </c>
      <c r="L32" s="66">
        <v>0</v>
      </c>
      <c r="M32" s="66">
        <v>0</v>
      </c>
      <c r="N32" s="66">
        <v>0</v>
      </c>
      <c r="O32" s="66">
        <v>0</v>
      </c>
      <c r="P32" s="258">
        <f t="shared" si="0"/>
        <v>0</v>
      </c>
      <c r="Q32" s="152" t="str">
        <f>Master!AF34</f>
        <v>IVORY COAST</v>
      </c>
      <c r="R32" s="55"/>
    </row>
    <row r="33" spans="1:18" ht="15.75" thickBot="1" x14ac:dyDescent="0.3">
      <c r="A33" s="55"/>
      <c r="B33" s="152" t="str">
        <f>Master!AF35</f>
        <v>JORDAN</v>
      </c>
      <c r="C33" s="151" t="str">
        <f>Master!AG35</f>
        <v>JO</v>
      </c>
      <c r="D33" s="66">
        <v>0</v>
      </c>
      <c r="E33" s="66">
        <v>0</v>
      </c>
      <c r="F33" s="66">
        <v>0</v>
      </c>
      <c r="G33" s="257">
        <v>0</v>
      </c>
      <c r="H33" s="66">
        <v>0</v>
      </c>
      <c r="I33" s="66">
        <v>0</v>
      </c>
      <c r="J33" s="66">
        <v>0</v>
      </c>
      <c r="K33" s="258">
        <v>0</v>
      </c>
      <c r="L33" s="66">
        <v>0</v>
      </c>
      <c r="M33" s="66">
        <v>0</v>
      </c>
      <c r="N33" s="66">
        <v>0</v>
      </c>
      <c r="O33" s="66">
        <v>0</v>
      </c>
      <c r="P33" s="258">
        <f t="shared" si="0"/>
        <v>0</v>
      </c>
      <c r="Q33" s="152" t="str">
        <f>Master!AF35</f>
        <v>JORDAN</v>
      </c>
      <c r="R33" s="55"/>
    </row>
    <row r="34" spans="1:18" ht="15.75" thickBot="1" x14ac:dyDescent="0.3">
      <c r="A34" s="55"/>
      <c r="B34" s="152" t="str">
        <f>Master!AF36</f>
        <v>KAZAKHSTAN</v>
      </c>
      <c r="C34" s="151" t="str">
        <f>Master!AG36</f>
        <v>KZ</v>
      </c>
      <c r="D34" s="66">
        <v>0</v>
      </c>
      <c r="E34" s="66">
        <v>0</v>
      </c>
      <c r="F34" s="66">
        <v>0</v>
      </c>
      <c r="G34" s="257">
        <v>0</v>
      </c>
      <c r="H34" s="66">
        <v>0</v>
      </c>
      <c r="I34" s="66">
        <v>0</v>
      </c>
      <c r="J34" s="66">
        <v>0</v>
      </c>
      <c r="K34" s="258">
        <v>0</v>
      </c>
      <c r="L34" s="66">
        <v>0</v>
      </c>
      <c r="M34" s="66">
        <v>0</v>
      </c>
      <c r="N34" s="66">
        <v>0</v>
      </c>
      <c r="O34" s="66">
        <v>0</v>
      </c>
      <c r="P34" s="258">
        <f t="shared" si="0"/>
        <v>0</v>
      </c>
      <c r="Q34" s="152" t="str">
        <f>Master!AF36</f>
        <v>KAZAKHSTAN</v>
      </c>
      <c r="R34" s="55"/>
    </row>
    <row r="35" spans="1:18" ht="15.75" thickBot="1" x14ac:dyDescent="0.3">
      <c r="A35" s="55"/>
      <c r="B35" s="152" t="str">
        <f>Master!AF37</f>
        <v>KENYA</v>
      </c>
      <c r="C35" s="151" t="str">
        <f>Master!AG37</f>
        <v>KE</v>
      </c>
      <c r="D35" s="66">
        <v>0</v>
      </c>
      <c r="E35" s="66">
        <v>0</v>
      </c>
      <c r="F35" s="66">
        <v>0</v>
      </c>
      <c r="G35" s="257">
        <v>0</v>
      </c>
      <c r="H35" s="66">
        <v>0</v>
      </c>
      <c r="I35" s="66">
        <v>0</v>
      </c>
      <c r="J35" s="66">
        <v>0</v>
      </c>
      <c r="K35" s="258">
        <v>0</v>
      </c>
      <c r="L35" s="66">
        <v>0</v>
      </c>
      <c r="M35" s="66">
        <v>0</v>
      </c>
      <c r="N35" s="66">
        <v>0</v>
      </c>
      <c r="O35" s="66">
        <v>0</v>
      </c>
      <c r="P35" s="258">
        <f t="shared" si="0"/>
        <v>0</v>
      </c>
      <c r="Q35" s="152" t="str">
        <f>Master!AF37</f>
        <v>KENYA</v>
      </c>
      <c r="R35" s="55"/>
    </row>
    <row r="36" spans="1:18" ht="15.75" thickBot="1" x14ac:dyDescent="0.3">
      <c r="A36" s="55"/>
      <c r="B36" s="152" t="str">
        <f>Master!AF38</f>
        <v>LEBANON</v>
      </c>
      <c r="C36" s="151" t="str">
        <f>Master!AG38</f>
        <v>LE</v>
      </c>
      <c r="D36" s="66">
        <v>0</v>
      </c>
      <c r="E36" s="66">
        <v>0</v>
      </c>
      <c r="F36" s="66">
        <v>0</v>
      </c>
      <c r="G36" s="257">
        <v>0</v>
      </c>
      <c r="H36" s="66">
        <v>0</v>
      </c>
      <c r="I36" s="66">
        <v>0</v>
      </c>
      <c r="J36" s="66">
        <v>0</v>
      </c>
      <c r="K36" s="258">
        <v>0</v>
      </c>
      <c r="L36" s="66">
        <v>0</v>
      </c>
      <c r="M36" s="66">
        <v>0</v>
      </c>
      <c r="N36" s="66">
        <v>0</v>
      </c>
      <c r="O36" s="66">
        <v>0</v>
      </c>
      <c r="P36" s="258">
        <f t="shared" si="0"/>
        <v>0</v>
      </c>
      <c r="Q36" s="152" t="str">
        <f>Master!AF38</f>
        <v>LEBANON</v>
      </c>
      <c r="R36" s="55"/>
    </row>
    <row r="37" spans="1:18" ht="15.75" thickBot="1" x14ac:dyDescent="0.3">
      <c r="A37" s="55"/>
      <c r="B37" s="152" t="str">
        <f>Master!AF39</f>
        <v>LIBERIA</v>
      </c>
      <c r="C37" s="151" t="str">
        <f>Master!AG39</f>
        <v>LI</v>
      </c>
      <c r="D37" s="66">
        <v>0</v>
      </c>
      <c r="E37" s="66">
        <v>0</v>
      </c>
      <c r="F37" s="66">
        <v>0</v>
      </c>
      <c r="G37" s="257">
        <v>0</v>
      </c>
      <c r="H37" s="66">
        <v>0</v>
      </c>
      <c r="I37" s="66">
        <v>0</v>
      </c>
      <c r="J37" s="66">
        <v>0</v>
      </c>
      <c r="K37" s="258">
        <v>0</v>
      </c>
      <c r="L37" s="66">
        <v>0</v>
      </c>
      <c r="M37" s="66">
        <v>0</v>
      </c>
      <c r="N37" s="66">
        <v>0</v>
      </c>
      <c r="O37" s="66">
        <v>0</v>
      </c>
      <c r="P37" s="258">
        <f t="shared" si="0"/>
        <v>0</v>
      </c>
      <c r="Q37" s="152" t="str">
        <f>Master!AF39</f>
        <v>LIBERIA</v>
      </c>
      <c r="R37" s="55"/>
    </row>
    <row r="38" spans="1:18" ht="15.75" thickBot="1" x14ac:dyDescent="0.3">
      <c r="A38" s="55"/>
      <c r="B38" s="152" t="str">
        <f>Master!AF40</f>
        <v>LIBYA</v>
      </c>
      <c r="C38" s="151" t="str">
        <f>Master!AG40</f>
        <v>LY</v>
      </c>
      <c r="D38" s="66">
        <v>0</v>
      </c>
      <c r="E38" s="66">
        <v>0</v>
      </c>
      <c r="F38" s="66">
        <v>0</v>
      </c>
      <c r="G38" s="257">
        <v>0</v>
      </c>
      <c r="H38" s="66">
        <v>0</v>
      </c>
      <c r="I38" s="66">
        <v>0</v>
      </c>
      <c r="J38" s="66">
        <v>0</v>
      </c>
      <c r="K38" s="258">
        <v>0</v>
      </c>
      <c r="L38" s="66">
        <v>0</v>
      </c>
      <c r="M38" s="66">
        <v>0</v>
      </c>
      <c r="N38" s="66">
        <v>0</v>
      </c>
      <c r="O38" s="66">
        <v>0</v>
      </c>
      <c r="P38" s="258">
        <f t="shared" si="0"/>
        <v>0</v>
      </c>
      <c r="Q38" s="152" t="str">
        <f>Master!AF40</f>
        <v>LIBYA</v>
      </c>
      <c r="R38" s="55"/>
    </row>
    <row r="39" spans="1:18" ht="15.75" thickBot="1" x14ac:dyDescent="0.3">
      <c r="A39" s="55"/>
      <c r="B39" s="152" t="str">
        <f>Master!AF41</f>
        <v>MOLDOVA</v>
      </c>
      <c r="C39" s="151" t="str">
        <f>Master!AG41</f>
        <v>MD</v>
      </c>
      <c r="D39" s="66">
        <v>0</v>
      </c>
      <c r="E39" s="66">
        <v>0</v>
      </c>
      <c r="F39" s="66">
        <v>0</v>
      </c>
      <c r="G39" s="257">
        <v>0</v>
      </c>
      <c r="H39" s="66">
        <v>0</v>
      </c>
      <c r="I39" s="66">
        <v>0</v>
      </c>
      <c r="J39" s="66">
        <v>0</v>
      </c>
      <c r="K39" s="258">
        <v>0</v>
      </c>
      <c r="L39" s="66">
        <v>0</v>
      </c>
      <c r="M39" s="66">
        <v>0</v>
      </c>
      <c r="N39" s="66">
        <v>0</v>
      </c>
      <c r="O39" s="66">
        <v>0</v>
      </c>
      <c r="P39" s="258">
        <f t="shared" si="0"/>
        <v>0</v>
      </c>
      <c r="Q39" s="152" t="str">
        <f>Master!AF41</f>
        <v>MOLDOVA</v>
      </c>
      <c r="R39" s="55"/>
    </row>
    <row r="40" spans="1:18" ht="15.75" thickBot="1" x14ac:dyDescent="0.3">
      <c r="A40" s="55"/>
      <c r="B40" s="152" t="str">
        <f>Master!AF42</f>
        <v>MALI</v>
      </c>
      <c r="C40" s="151" t="str">
        <f>Master!AG42</f>
        <v>ML</v>
      </c>
      <c r="D40" s="66">
        <v>0</v>
      </c>
      <c r="E40" s="66">
        <v>0</v>
      </c>
      <c r="F40" s="66">
        <v>0</v>
      </c>
      <c r="G40" s="257">
        <v>0</v>
      </c>
      <c r="H40" s="66">
        <v>0</v>
      </c>
      <c r="I40" s="66">
        <v>0</v>
      </c>
      <c r="J40" s="66">
        <v>0</v>
      </c>
      <c r="K40" s="258">
        <v>0</v>
      </c>
      <c r="L40" s="66">
        <v>0</v>
      </c>
      <c r="M40" s="66">
        <v>0</v>
      </c>
      <c r="N40" s="66">
        <v>0</v>
      </c>
      <c r="O40" s="66">
        <v>0</v>
      </c>
      <c r="P40" s="258">
        <f t="shared" si="0"/>
        <v>0</v>
      </c>
      <c r="Q40" s="152" t="str">
        <f>Master!AF42</f>
        <v>MALI</v>
      </c>
      <c r="R40" s="55"/>
    </row>
    <row r="41" spans="1:18" ht="15.75" thickBot="1" x14ac:dyDescent="0.3">
      <c r="A41" s="55"/>
      <c r="B41" s="152" t="str">
        <f>Master!AF43</f>
        <v>MALAYSIA</v>
      </c>
      <c r="C41" s="151" t="str">
        <f>Master!AG43</f>
        <v>MY</v>
      </c>
      <c r="D41" s="66">
        <v>0</v>
      </c>
      <c r="E41" s="66">
        <v>0</v>
      </c>
      <c r="F41" s="66">
        <v>0</v>
      </c>
      <c r="G41" s="257">
        <v>0</v>
      </c>
      <c r="H41" s="66">
        <v>0</v>
      </c>
      <c r="I41" s="66">
        <v>0</v>
      </c>
      <c r="J41" s="66">
        <v>0</v>
      </c>
      <c r="K41" s="258">
        <v>0</v>
      </c>
      <c r="L41" s="66">
        <v>0</v>
      </c>
      <c r="M41" s="66">
        <v>0</v>
      </c>
      <c r="N41" s="66">
        <v>0</v>
      </c>
      <c r="O41" s="66">
        <v>0</v>
      </c>
      <c r="P41" s="258">
        <f t="shared" si="0"/>
        <v>0</v>
      </c>
      <c r="Q41" s="152" t="str">
        <f>Master!AF43</f>
        <v>MALAYSIA</v>
      </c>
      <c r="R41" s="55"/>
    </row>
    <row r="42" spans="1:18" ht="15.75" thickBot="1" x14ac:dyDescent="0.3">
      <c r="A42" s="55"/>
      <c r="B42" s="152" t="str">
        <f>Master!AF44</f>
        <v>NAMIBIA</v>
      </c>
      <c r="C42" s="151" t="str">
        <f>Master!AG44</f>
        <v>WA</v>
      </c>
      <c r="D42" s="66">
        <v>0</v>
      </c>
      <c r="E42" s="66">
        <v>0</v>
      </c>
      <c r="F42" s="66">
        <v>0</v>
      </c>
      <c r="G42" s="257">
        <v>0</v>
      </c>
      <c r="H42" s="66">
        <v>0</v>
      </c>
      <c r="I42" s="66">
        <v>0</v>
      </c>
      <c r="J42" s="66">
        <v>0</v>
      </c>
      <c r="K42" s="258">
        <v>0</v>
      </c>
      <c r="L42" s="66">
        <v>0</v>
      </c>
      <c r="M42" s="66">
        <v>0</v>
      </c>
      <c r="N42" s="66">
        <v>0</v>
      </c>
      <c r="O42" s="66">
        <v>0</v>
      </c>
      <c r="P42" s="258">
        <f t="shared" si="0"/>
        <v>0</v>
      </c>
      <c r="Q42" s="152" t="str">
        <f>Master!AF44</f>
        <v>NAMIBIA</v>
      </c>
      <c r="R42" s="55"/>
    </row>
    <row r="43" spans="1:18" ht="15.75" thickBot="1" x14ac:dyDescent="0.3">
      <c r="A43" s="55"/>
      <c r="B43" s="152" t="str">
        <f>Master!AF45</f>
        <v>NEPAL</v>
      </c>
      <c r="C43" s="151" t="str">
        <f>Master!AG45</f>
        <v>NP</v>
      </c>
      <c r="D43" s="66">
        <v>0</v>
      </c>
      <c r="E43" s="66">
        <v>0</v>
      </c>
      <c r="F43" s="66">
        <v>0</v>
      </c>
      <c r="G43" s="257">
        <v>0</v>
      </c>
      <c r="H43" s="66">
        <v>0</v>
      </c>
      <c r="I43" s="66">
        <v>0</v>
      </c>
      <c r="J43" s="66">
        <v>2</v>
      </c>
      <c r="K43" s="258">
        <v>1</v>
      </c>
      <c r="L43" s="66">
        <v>0</v>
      </c>
      <c r="M43" s="66">
        <v>0</v>
      </c>
      <c r="N43" s="66">
        <v>0</v>
      </c>
      <c r="O43" s="66">
        <v>0</v>
      </c>
      <c r="P43" s="258">
        <f t="shared" si="0"/>
        <v>3</v>
      </c>
      <c r="Q43" s="152" t="str">
        <f>Master!AF45</f>
        <v>NEPAL</v>
      </c>
      <c r="R43" s="55"/>
    </row>
    <row r="44" spans="1:18" ht="15.75" thickBot="1" x14ac:dyDescent="0.3">
      <c r="A44" s="55"/>
      <c r="B44" s="152" t="str">
        <f>Master!AF46</f>
        <v>NIGERIA</v>
      </c>
      <c r="C44" s="151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2" t="str">
        <f>Master!AF46</f>
        <v>NIGERIA</v>
      </c>
      <c r="R44" s="55"/>
    </row>
    <row r="45" spans="1:18" ht="15.75" thickBot="1" x14ac:dyDescent="0.3">
      <c r="A45" s="55"/>
      <c r="B45" s="152" t="str">
        <f>Master!AF47</f>
        <v>PAKISTAN</v>
      </c>
      <c r="C45" s="151" t="str">
        <f>Master!AG47</f>
        <v>PK</v>
      </c>
      <c r="D45" s="66">
        <v>0</v>
      </c>
      <c r="E45" s="66">
        <v>3</v>
      </c>
      <c r="F45" s="66">
        <v>0</v>
      </c>
      <c r="G45" s="257">
        <v>4</v>
      </c>
      <c r="H45" s="66">
        <v>0</v>
      </c>
      <c r="I45" s="66">
        <v>0</v>
      </c>
      <c r="J45" s="66">
        <v>5</v>
      </c>
      <c r="K45" s="258">
        <v>0</v>
      </c>
      <c r="L45" s="66">
        <v>0</v>
      </c>
      <c r="M45" s="66">
        <v>0</v>
      </c>
      <c r="N45" s="66">
        <v>0</v>
      </c>
      <c r="O45" s="66">
        <v>2</v>
      </c>
      <c r="P45" s="258">
        <f t="shared" si="0"/>
        <v>14</v>
      </c>
      <c r="Q45" s="152" t="str">
        <f>Master!AF47</f>
        <v>PAKISTAN</v>
      </c>
      <c r="R45" s="55"/>
    </row>
    <row r="46" spans="1:18" ht="15.75" thickBot="1" x14ac:dyDescent="0.3">
      <c r="A46" s="55"/>
      <c r="B46" s="152" t="str">
        <f>Master!AF48</f>
        <v>PITCAIRN ISLANDS</v>
      </c>
      <c r="C46" s="151" t="str">
        <f>Master!AG48</f>
        <v>PN</v>
      </c>
      <c r="D46" s="66">
        <v>0</v>
      </c>
      <c r="E46" s="66">
        <v>0</v>
      </c>
      <c r="F46" s="66">
        <v>0</v>
      </c>
      <c r="G46" s="257">
        <v>0</v>
      </c>
      <c r="H46" s="66">
        <v>0</v>
      </c>
      <c r="I46" s="66">
        <v>0</v>
      </c>
      <c r="J46" s="66">
        <v>0</v>
      </c>
      <c r="K46" s="258">
        <v>0</v>
      </c>
      <c r="L46" s="66">
        <v>0</v>
      </c>
      <c r="M46" s="66">
        <v>0</v>
      </c>
      <c r="N46" s="66">
        <v>0</v>
      </c>
      <c r="O46" s="66">
        <v>0</v>
      </c>
      <c r="P46" s="258">
        <f t="shared" si="0"/>
        <v>0</v>
      </c>
      <c r="Q46" s="152" t="str">
        <f>Master!AF48</f>
        <v>PITCAIRN ISLANDS</v>
      </c>
      <c r="R46" s="55"/>
    </row>
    <row r="47" spans="1:18" ht="15.75" thickBot="1" x14ac:dyDescent="0.3">
      <c r="A47" s="55"/>
      <c r="B47" s="152" t="str">
        <f>Master!AF49</f>
        <v>RWANDA</v>
      </c>
      <c r="C47" s="151" t="str">
        <f>Master!AG49</f>
        <v>RW</v>
      </c>
      <c r="D47" s="66">
        <v>0</v>
      </c>
      <c r="E47" s="66">
        <v>0</v>
      </c>
      <c r="F47" s="66">
        <v>0</v>
      </c>
      <c r="G47" s="257">
        <v>0</v>
      </c>
      <c r="H47" s="66">
        <v>0</v>
      </c>
      <c r="I47" s="66">
        <v>0</v>
      </c>
      <c r="J47" s="66">
        <v>0</v>
      </c>
      <c r="K47" s="258">
        <v>0</v>
      </c>
      <c r="L47" s="66">
        <v>0</v>
      </c>
      <c r="M47" s="66">
        <v>0</v>
      </c>
      <c r="N47" s="66">
        <v>0</v>
      </c>
      <c r="O47" s="66">
        <v>0</v>
      </c>
      <c r="P47" s="258">
        <f t="shared" si="0"/>
        <v>0</v>
      </c>
      <c r="Q47" s="152" t="str">
        <f>Master!AF49</f>
        <v>RWANDA</v>
      </c>
      <c r="R47" s="55"/>
    </row>
    <row r="48" spans="1:18" ht="15.75" thickBot="1" x14ac:dyDescent="0.3">
      <c r="A48" s="55"/>
      <c r="B48" s="152" t="str">
        <f>Master!AF50</f>
        <v>RUSSIA</v>
      </c>
      <c r="C48" s="151" t="str">
        <f>Master!AG50</f>
        <v>RS</v>
      </c>
      <c r="D48" s="66">
        <v>0</v>
      </c>
      <c r="E48" s="66">
        <v>0</v>
      </c>
      <c r="F48" s="66">
        <v>0</v>
      </c>
      <c r="G48" s="257">
        <v>0</v>
      </c>
      <c r="H48" s="66">
        <v>0</v>
      </c>
      <c r="I48" s="66">
        <v>0</v>
      </c>
      <c r="J48" s="66">
        <v>0</v>
      </c>
      <c r="K48" s="258">
        <v>0</v>
      </c>
      <c r="L48" s="66">
        <v>0</v>
      </c>
      <c r="M48" s="66">
        <v>0</v>
      </c>
      <c r="N48" s="66">
        <v>0</v>
      </c>
      <c r="O48" s="66">
        <v>11</v>
      </c>
      <c r="P48" s="258">
        <f t="shared" si="0"/>
        <v>11</v>
      </c>
      <c r="Q48" s="152" t="str">
        <f>Master!AF50</f>
        <v>RUSSIA</v>
      </c>
      <c r="R48" s="55"/>
    </row>
    <row r="49" spans="1:18" ht="15.75" thickBot="1" x14ac:dyDescent="0.3">
      <c r="A49" s="55"/>
      <c r="B49" s="152" t="str">
        <f>Master!AF51</f>
        <v>SIERRA LEON</v>
      </c>
      <c r="C49" s="151" t="str">
        <f>Master!AG51</f>
        <v>SL</v>
      </c>
      <c r="D49" s="66">
        <v>0</v>
      </c>
      <c r="E49" s="66">
        <v>0</v>
      </c>
      <c r="F49" s="66">
        <v>0</v>
      </c>
      <c r="G49" s="257">
        <v>0</v>
      </c>
      <c r="H49" s="66">
        <v>0</v>
      </c>
      <c r="I49" s="66">
        <v>0</v>
      </c>
      <c r="J49" s="66">
        <v>0</v>
      </c>
      <c r="K49" s="258">
        <v>0</v>
      </c>
      <c r="L49" s="66">
        <v>0</v>
      </c>
      <c r="M49" s="66">
        <v>0</v>
      </c>
      <c r="N49" s="66">
        <v>0</v>
      </c>
      <c r="O49" s="66">
        <v>0</v>
      </c>
      <c r="P49" s="258">
        <f t="shared" si="0"/>
        <v>0</v>
      </c>
      <c r="Q49" s="152" t="str">
        <f>Master!AF51</f>
        <v>SIERRA LEON</v>
      </c>
      <c r="R49" s="55"/>
    </row>
    <row r="50" spans="1:18" ht="15.75" thickBot="1" x14ac:dyDescent="0.3">
      <c r="A50" s="55"/>
      <c r="B50" s="152" t="str">
        <f>Master!AF52</f>
        <v>SOMALIA</v>
      </c>
      <c r="C50" s="151" t="str">
        <f>Master!AG52</f>
        <v>SO</v>
      </c>
      <c r="D50" s="66">
        <v>8</v>
      </c>
      <c r="E50" s="66">
        <v>20</v>
      </c>
      <c r="F50" s="66">
        <v>4</v>
      </c>
      <c r="G50" s="257">
        <v>1</v>
      </c>
      <c r="H50" s="66">
        <v>7</v>
      </c>
      <c r="I50" s="66">
        <v>10</v>
      </c>
      <c r="J50" s="66">
        <v>2</v>
      </c>
      <c r="K50" s="258">
        <v>3</v>
      </c>
      <c r="L50" s="66">
        <v>0</v>
      </c>
      <c r="M50" s="66">
        <v>9</v>
      </c>
      <c r="N50" s="66">
        <v>1</v>
      </c>
      <c r="O50" s="66">
        <v>0</v>
      </c>
      <c r="P50" s="258">
        <f t="shared" si="0"/>
        <v>65</v>
      </c>
      <c r="Q50" s="152" t="str">
        <f>Master!AF52</f>
        <v>SOMALIA</v>
      </c>
      <c r="R50" s="55"/>
    </row>
    <row r="51" spans="1:18" ht="15.75" thickBot="1" x14ac:dyDescent="0.3">
      <c r="A51" s="55"/>
      <c r="B51" s="152" t="str">
        <f>Master!AF53</f>
        <v>SPAIN</v>
      </c>
      <c r="C51" s="151" t="str">
        <f>Master!AG53</f>
        <v>ES</v>
      </c>
      <c r="D51" s="66">
        <v>0</v>
      </c>
      <c r="E51" s="66">
        <v>0</v>
      </c>
      <c r="F51" s="66">
        <v>2</v>
      </c>
      <c r="G51" s="257">
        <v>0</v>
      </c>
      <c r="H51" s="66">
        <v>0</v>
      </c>
      <c r="I51" s="66">
        <v>0</v>
      </c>
      <c r="J51" s="66">
        <v>0</v>
      </c>
      <c r="K51" s="258">
        <v>0</v>
      </c>
      <c r="L51" s="66">
        <v>0</v>
      </c>
      <c r="M51" s="66">
        <v>0</v>
      </c>
      <c r="N51" s="66">
        <v>0</v>
      </c>
      <c r="O51" s="66">
        <v>0</v>
      </c>
      <c r="P51" s="258">
        <f t="shared" si="0"/>
        <v>2</v>
      </c>
      <c r="Q51" s="152" t="str">
        <f>Master!AF53</f>
        <v>SPAIN</v>
      </c>
      <c r="R51" s="55"/>
    </row>
    <row r="52" spans="1:18" ht="15.75" thickBot="1" x14ac:dyDescent="0.3">
      <c r="A52" s="55"/>
      <c r="B52" s="152" t="str">
        <f>Master!AF54</f>
        <v>SOUTH SUDAN</v>
      </c>
      <c r="C52" s="151" t="str">
        <f>Master!AG54</f>
        <v>SS</v>
      </c>
      <c r="D52" s="66">
        <v>0</v>
      </c>
      <c r="E52" s="66">
        <v>0</v>
      </c>
      <c r="F52" s="66">
        <v>0</v>
      </c>
      <c r="G52" s="257">
        <v>0</v>
      </c>
      <c r="H52" s="66">
        <v>0</v>
      </c>
      <c r="I52" s="66">
        <v>0</v>
      </c>
      <c r="J52" s="66">
        <v>0</v>
      </c>
      <c r="K52" s="258">
        <v>4</v>
      </c>
      <c r="L52" s="66">
        <v>0</v>
      </c>
      <c r="M52" s="66">
        <v>0</v>
      </c>
      <c r="N52" s="66">
        <v>0</v>
      </c>
      <c r="O52" s="66">
        <v>0</v>
      </c>
      <c r="P52" s="258">
        <f t="shared" si="0"/>
        <v>4</v>
      </c>
      <c r="Q52" s="152" t="str">
        <f>Master!AF54</f>
        <v>SOUTH SUDAN</v>
      </c>
      <c r="R52" s="55"/>
    </row>
    <row r="53" spans="1:18" ht="17.25" customHeight="1" thickBot="1" x14ac:dyDescent="0.3">
      <c r="A53" s="55"/>
      <c r="B53" s="152" t="str">
        <f>Master!AF55</f>
        <v>SRI LANKA</v>
      </c>
      <c r="C53" s="151" t="str">
        <f>Master!AG55</f>
        <v>CE</v>
      </c>
      <c r="D53" s="66">
        <v>0</v>
      </c>
      <c r="E53" s="66">
        <v>0</v>
      </c>
      <c r="F53" s="66">
        <v>0</v>
      </c>
      <c r="G53" s="257">
        <v>0</v>
      </c>
      <c r="H53" s="66">
        <v>0</v>
      </c>
      <c r="I53" s="66">
        <v>0</v>
      </c>
      <c r="J53" s="66">
        <v>0</v>
      </c>
      <c r="K53" s="258">
        <v>0</v>
      </c>
      <c r="L53" s="66">
        <v>0</v>
      </c>
      <c r="M53" s="66">
        <v>0</v>
      </c>
      <c r="N53" s="66">
        <v>0</v>
      </c>
      <c r="O53" s="66">
        <v>0</v>
      </c>
      <c r="P53" s="258">
        <f t="shared" si="0"/>
        <v>0</v>
      </c>
      <c r="Q53" s="152" t="str">
        <f>Master!AF55</f>
        <v>SRI LANKA</v>
      </c>
      <c r="R53" s="55"/>
    </row>
    <row r="54" spans="1:18" ht="15.75" thickBot="1" x14ac:dyDescent="0.3">
      <c r="A54" s="55"/>
      <c r="B54" s="152" t="str">
        <f>Master!AF56</f>
        <v>SUDAN</v>
      </c>
      <c r="C54" s="151" t="str">
        <f>Master!AG56</f>
        <v>SU</v>
      </c>
      <c r="D54" s="66">
        <v>0</v>
      </c>
      <c r="E54" s="66">
        <v>0</v>
      </c>
      <c r="F54" s="66">
        <v>0</v>
      </c>
      <c r="G54" s="257">
        <v>2</v>
      </c>
      <c r="H54" s="66">
        <v>0</v>
      </c>
      <c r="I54" s="66">
        <v>0</v>
      </c>
      <c r="J54" s="66">
        <v>0</v>
      </c>
      <c r="K54" s="258">
        <v>1</v>
      </c>
      <c r="L54" s="66">
        <v>0</v>
      </c>
      <c r="M54" s="66">
        <v>0</v>
      </c>
      <c r="N54" s="66">
        <v>0</v>
      </c>
      <c r="O54" s="66">
        <v>0</v>
      </c>
      <c r="P54" s="258">
        <f t="shared" si="0"/>
        <v>3</v>
      </c>
      <c r="Q54" s="152" t="str">
        <f>Master!AF56</f>
        <v>SUDAN</v>
      </c>
      <c r="R54" s="55"/>
    </row>
    <row r="55" spans="1:18" ht="15.75" thickBot="1" x14ac:dyDescent="0.3">
      <c r="A55" s="55"/>
      <c r="B55" s="152" t="str">
        <f>Master!AF57</f>
        <v>SYRIA</v>
      </c>
      <c r="C55" s="151" t="str">
        <f>Master!AG57</f>
        <v>SY</v>
      </c>
      <c r="D55" s="66">
        <v>9</v>
      </c>
      <c r="E55" s="66">
        <v>0</v>
      </c>
      <c r="F55" s="66">
        <v>26</v>
      </c>
      <c r="G55" s="257">
        <v>22</v>
      </c>
      <c r="H55" s="66">
        <v>5</v>
      </c>
      <c r="I55" s="66">
        <v>0</v>
      </c>
      <c r="J55" s="66">
        <v>0</v>
      </c>
      <c r="K55" s="258">
        <v>0</v>
      </c>
      <c r="L55" s="66">
        <v>0</v>
      </c>
      <c r="M55" s="66">
        <v>0</v>
      </c>
      <c r="N55" s="66">
        <v>0</v>
      </c>
      <c r="O55" s="66">
        <v>0</v>
      </c>
      <c r="P55" s="258">
        <f t="shared" si="0"/>
        <v>62</v>
      </c>
      <c r="Q55" s="152" t="str">
        <f>Master!AF57</f>
        <v>SYRIA</v>
      </c>
      <c r="R55" s="55"/>
    </row>
    <row r="56" spans="1:18" ht="15.75" thickBot="1" x14ac:dyDescent="0.3">
      <c r="A56" s="55"/>
      <c r="B56" s="152" t="str">
        <f>Master!AF58</f>
        <v>TAJIKISTAN</v>
      </c>
      <c r="C56" s="151" t="str">
        <f>Master!AG58</f>
        <v>TI</v>
      </c>
      <c r="D56" s="66">
        <v>0</v>
      </c>
      <c r="E56" s="66">
        <v>0</v>
      </c>
      <c r="F56" s="66">
        <v>0</v>
      </c>
      <c r="G56" s="257">
        <v>0</v>
      </c>
      <c r="H56" s="66">
        <v>0</v>
      </c>
      <c r="I56" s="66">
        <v>0</v>
      </c>
      <c r="J56" s="66">
        <v>0</v>
      </c>
      <c r="K56" s="258">
        <v>0</v>
      </c>
      <c r="L56" s="66">
        <v>0</v>
      </c>
      <c r="M56" s="66">
        <v>0</v>
      </c>
      <c r="N56" s="66">
        <v>0</v>
      </c>
      <c r="O56" s="66">
        <v>0</v>
      </c>
      <c r="P56" s="258">
        <f t="shared" si="0"/>
        <v>0</v>
      </c>
      <c r="Q56" s="152" t="str">
        <f>Master!AF58</f>
        <v>TAJIKISTAN</v>
      </c>
      <c r="R56" s="55"/>
    </row>
    <row r="57" spans="1:18" ht="15.75" thickBot="1" x14ac:dyDescent="0.3">
      <c r="A57" s="55"/>
      <c r="B57" s="152" t="str">
        <f>Master!AF59</f>
        <v>TANZANIA</v>
      </c>
      <c r="C57" s="151" t="str">
        <f>Master!AG59</f>
        <v>TZ</v>
      </c>
      <c r="D57" s="66">
        <v>0</v>
      </c>
      <c r="E57" s="66">
        <v>0</v>
      </c>
      <c r="F57" s="66">
        <v>0</v>
      </c>
      <c r="G57" s="257">
        <v>0</v>
      </c>
      <c r="H57" s="66">
        <v>0</v>
      </c>
      <c r="I57" s="66">
        <v>0</v>
      </c>
      <c r="J57" s="66">
        <v>0</v>
      </c>
      <c r="K57" s="258">
        <v>0</v>
      </c>
      <c r="L57" s="66">
        <v>0</v>
      </c>
      <c r="M57" s="66">
        <v>0</v>
      </c>
      <c r="N57" s="66">
        <v>0</v>
      </c>
      <c r="O57" s="66">
        <v>0</v>
      </c>
      <c r="P57" s="258">
        <f t="shared" si="0"/>
        <v>0</v>
      </c>
      <c r="Q57" s="152" t="str">
        <f>Master!AF59</f>
        <v>TANZANIA</v>
      </c>
      <c r="R57" s="55"/>
    </row>
    <row r="58" spans="1:18" ht="15.75" thickBot="1" x14ac:dyDescent="0.3">
      <c r="A58" s="55"/>
      <c r="B58" s="152" t="str">
        <f>Master!AF60</f>
        <v>THAILAND</v>
      </c>
      <c r="C58" s="151" t="str">
        <f>Master!AG60</f>
        <v>TH</v>
      </c>
      <c r="D58" s="66">
        <v>0</v>
      </c>
      <c r="E58" s="66">
        <v>0</v>
      </c>
      <c r="F58" s="66">
        <v>0</v>
      </c>
      <c r="G58" s="257">
        <v>0</v>
      </c>
      <c r="H58" s="66">
        <v>0</v>
      </c>
      <c r="I58" s="66">
        <v>0</v>
      </c>
      <c r="J58" s="66">
        <v>0</v>
      </c>
      <c r="K58" s="258">
        <v>0</v>
      </c>
      <c r="L58" s="66">
        <v>0</v>
      </c>
      <c r="M58" s="66">
        <v>0</v>
      </c>
      <c r="N58" s="66">
        <v>0</v>
      </c>
      <c r="O58" s="66">
        <v>11</v>
      </c>
      <c r="P58" s="258">
        <f t="shared" si="0"/>
        <v>11</v>
      </c>
      <c r="Q58" s="152" t="str">
        <f>Master!AF60</f>
        <v>THAILAND</v>
      </c>
      <c r="R58" s="55"/>
    </row>
    <row r="59" spans="1:18" ht="15.75" thickBot="1" x14ac:dyDescent="0.3">
      <c r="A59" s="55"/>
      <c r="B59" s="152" t="str">
        <f>Master!AF61</f>
        <v>UGANDA</v>
      </c>
      <c r="C59" s="151" t="str">
        <f>Master!AG61</f>
        <v>UG</v>
      </c>
      <c r="D59" s="66">
        <v>0</v>
      </c>
      <c r="E59" s="66">
        <v>0</v>
      </c>
      <c r="F59" s="66">
        <v>0</v>
      </c>
      <c r="G59" s="257">
        <v>0</v>
      </c>
      <c r="H59" s="66">
        <v>0</v>
      </c>
      <c r="I59" s="66">
        <v>0</v>
      </c>
      <c r="J59" s="66">
        <v>0</v>
      </c>
      <c r="K59" s="258">
        <v>0</v>
      </c>
      <c r="L59" s="66">
        <v>0</v>
      </c>
      <c r="M59" s="66">
        <v>0</v>
      </c>
      <c r="N59" s="66">
        <v>0</v>
      </c>
      <c r="O59" s="66">
        <v>0</v>
      </c>
      <c r="P59" s="258">
        <f t="shared" si="0"/>
        <v>0</v>
      </c>
      <c r="Q59" s="152" t="str">
        <f>Master!AF61</f>
        <v>UGANDA</v>
      </c>
      <c r="R59" s="55"/>
    </row>
    <row r="60" spans="1:18" ht="15.75" thickBot="1" x14ac:dyDescent="0.3">
      <c r="A60" s="55"/>
      <c r="B60" s="152" t="str">
        <f>Master!AF62</f>
        <v>UKRAINE</v>
      </c>
      <c r="C60" s="151" t="str">
        <f>Master!AG62</f>
        <v>UP</v>
      </c>
      <c r="D60" s="66">
        <v>2</v>
      </c>
      <c r="E60" s="66">
        <v>5</v>
      </c>
      <c r="F60" s="66">
        <v>0</v>
      </c>
      <c r="G60" s="257">
        <v>0</v>
      </c>
      <c r="H60" s="66">
        <v>2</v>
      </c>
      <c r="I60" s="66">
        <v>0</v>
      </c>
      <c r="J60" s="66">
        <v>2</v>
      </c>
      <c r="K60" s="258">
        <v>0</v>
      </c>
      <c r="L60" s="66">
        <v>0</v>
      </c>
      <c r="M60" s="66">
        <v>0</v>
      </c>
      <c r="N60" s="66">
        <v>1</v>
      </c>
      <c r="O60" s="66">
        <v>0</v>
      </c>
      <c r="P60" s="258">
        <f t="shared" si="0"/>
        <v>12</v>
      </c>
      <c r="Q60" s="152" t="str">
        <f>Master!AF62</f>
        <v>UKRAINE</v>
      </c>
      <c r="R60" s="55"/>
    </row>
    <row r="61" spans="1:18" ht="15.75" thickBot="1" x14ac:dyDescent="0.3">
      <c r="B61" s="152" t="str">
        <f>Master!AF63</f>
        <v>UZBEKISTAN</v>
      </c>
      <c r="C61" s="151" t="str">
        <f>Master!AG63</f>
        <v>UZ</v>
      </c>
      <c r="D61" s="66">
        <v>0</v>
      </c>
      <c r="E61" s="66">
        <v>0</v>
      </c>
      <c r="F61" s="66">
        <v>0</v>
      </c>
      <c r="G61" s="257">
        <v>0</v>
      </c>
      <c r="H61" s="66">
        <v>0</v>
      </c>
      <c r="I61" s="66">
        <v>0</v>
      </c>
      <c r="J61" s="66">
        <v>0</v>
      </c>
      <c r="K61" s="258">
        <v>0</v>
      </c>
      <c r="L61" s="66">
        <v>0</v>
      </c>
      <c r="M61" s="66">
        <v>0</v>
      </c>
      <c r="N61" s="66">
        <v>0</v>
      </c>
      <c r="O61" s="66">
        <v>0</v>
      </c>
      <c r="P61" s="258">
        <f t="shared" si="0"/>
        <v>0</v>
      </c>
      <c r="Q61" s="152" t="str">
        <f>Master!AF63</f>
        <v>UZBEKISTAN</v>
      </c>
      <c r="R61" s="55"/>
    </row>
    <row r="62" spans="1:18" ht="15.75" thickBot="1" x14ac:dyDescent="0.3">
      <c r="B62" s="152" t="str">
        <f>Master!AF64</f>
        <v>VIETNAM</v>
      </c>
      <c r="C62" s="151" t="str">
        <f>Master!AG64</f>
        <v>VM</v>
      </c>
      <c r="D62" s="66">
        <v>0</v>
      </c>
      <c r="E62" s="66">
        <v>0</v>
      </c>
      <c r="F62" s="66">
        <v>0</v>
      </c>
      <c r="G62" s="257">
        <v>0</v>
      </c>
      <c r="H62" s="66">
        <v>0</v>
      </c>
      <c r="I62" s="66">
        <v>0</v>
      </c>
      <c r="J62" s="66">
        <v>0</v>
      </c>
      <c r="K62" s="258">
        <v>0</v>
      </c>
      <c r="L62" s="66">
        <v>0</v>
      </c>
      <c r="M62" s="66">
        <v>0</v>
      </c>
      <c r="N62" s="66">
        <v>0</v>
      </c>
      <c r="O62" s="66">
        <v>79</v>
      </c>
      <c r="P62" s="258">
        <f t="shared" si="0"/>
        <v>79</v>
      </c>
      <c r="Q62" s="152" t="str">
        <f>Master!AF64</f>
        <v>VIETNAM</v>
      </c>
      <c r="R62" s="55"/>
    </row>
    <row r="63" spans="1:18" ht="15.75" thickBot="1" x14ac:dyDescent="0.3">
      <c r="B63" s="152" t="str">
        <f>Master!AF65</f>
        <v>ZAMBIA</v>
      </c>
      <c r="C63" s="151" t="str">
        <f>Master!AG65</f>
        <v>ZA</v>
      </c>
      <c r="D63" s="66">
        <v>0</v>
      </c>
      <c r="E63" s="66">
        <v>0</v>
      </c>
      <c r="F63" s="66">
        <v>0</v>
      </c>
      <c r="G63" s="257">
        <v>0</v>
      </c>
      <c r="H63" s="66">
        <v>0</v>
      </c>
      <c r="I63" s="66">
        <v>0</v>
      </c>
      <c r="J63" s="66">
        <v>0</v>
      </c>
      <c r="K63" s="258">
        <v>0</v>
      </c>
      <c r="L63" s="66">
        <v>0</v>
      </c>
      <c r="M63" s="66">
        <v>0</v>
      </c>
      <c r="N63" s="66">
        <v>0</v>
      </c>
      <c r="O63" s="66">
        <v>0</v>
      </c>
      <c r="P63" s="258">
        <f t="shared" si="0"/>
        <v>0</v>
      </c>
      <c r="Q63" s="152" t="str">
        <f>Master!AF65</f>
        <v>ZAMBIA</v>
      </c>
    </row>
    <row r="64" spans="1:18" ht="15.75" thickBot="1" x14ac:dyDescent="0.3">
      <c r="B64" s="152"/>
      <c r="C64" s="151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258">
        <f t="shared" si="0"/>
        <v>0</v>
      </c>
      <c r="Q64" s="152"/>
    </row>
    <row r="65" spans="2:17" ht="15.75" thickBot="1" x14ac:dyDescent="0.3">
      <c r="B65" s="152"/>
      <c r="C65" s="151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258">
        <f t="shared" si="0"/>
        <v>0</v>
      </c>
      <c r="Q65" s="152"/>
    </row>
    <row r="66" spans="2:17" ht="15.75" thickBot="1" x14ac:dyDescent="0.3">
      <c r="B66" s="205" t="s">
        <v>53</v>
      </c>
      <c r="C66" s="206"/>
      <c r="D66" s="23">
        <f>SUM(D5:D65)</f>
        <v>94</v>
      </c>
      <c r="E66" s="23">
        <f>SUM(E5:E65)</f>
        <v>113</v>
      </c>
      <c r="F66" s="23">
        <f>SUM(F5:F65)</f>
        <v>128</v>
      </c>
      <c r="G66" s="23">
        <f>SUM(G5:G65)</f>
        <v>73</v>
      </c>
      <c r="H66" s="23">
        <f>SUM(H5:H65)</f>
        <v>67</v>
      </c>
      <c r="I66" s="23">
        <f>SUM(I5:I65)</f>
        <v>49</v>
      </c>
      <c r="J66" s="23">
        <f>SUM(J5:J65)</f>
        <v>64</v>
      </c>
      <c r="K66" s="23">
        <f>SUM(K5:K65)</f>
        <v>115</v>
      </c>
      <c r="L66" s="23">
        <v>38</v>
      </c>
      <c r="M66" s="23">
        <v>13</v>
      </c>
      <c r="N66" s="23">
        <v>12</v>
      </c>
      <c r="O66" s="23">
        <v>158</v>
      </c>
      <c r="P66" s="249">
        <f>SUM(D66:O66)</f>
        <v>924</v>
      </c>
      <c r="Q66" s="2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R131"/>
  <sheetViews>
    <sheetView workbookViewId="0">
      <selection activeCell="V15" sqref="V15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18" ht="10.5" customHeight="1" thickBot="1" x14ac:dyDescent="0.3"/>
    <row r="2" spans="2:18" ht="15.75" thickBot="1" x14ac:dyDescent="0.3">
      <c r="B2" s="237" t="s">
        <v>3</v>
      </c>
      <c r="C2" s="255"/>
      <c r="D2" s="255"/>
      <c r="E2" s="255"/>
      <c r="F2" s="255"/>
      <c r="G2" s="255"/>
      <c r="H2" s="255"/>
      <c r="I2" s="255"/>
      <c r="J2" s="255" t="s">
        <v>6</v>
      </c>
      <c r="K2" s="255"/>
      <c r="L2" s="255"/>
      <c r="M2" s="255"/>
      <c r="N2" s="255"/>
      <c r="O2" s="255"/>
      <c r="P2" s="255"/>
      <c r="Q2" s="256"/>
    </row>
    <row r="3" spans="2:18" ht="13.5" customHeight="1" thickBot="1" x14ac:dyDescent="0.3">
      <c r="B3" s="369"/>
      <c r="C3" s="370"/>
      <c r="D3" s="211" t="s">
        <v>19</v>
      </c>
      <c r="E3" s="211" t="s">
        <v>20</v>
      </c>
      <c r="F3" s="211" t="s">
        <v>21</v>
      </c>
      <c r="G3" s="211" t="s">
        <v>22</v>
      </c>
      <c r="H3" s="211" t="s">
        <v>23</v>
      </c>
      <c r="I3" s="211" t="s">
        <v>24</v>
      </c>
      <c r="J3" s="211" t="s">
        <v>25</v>
      </c>
      <c r="K3" s="211" t="s">
        <v>26</v>
      </c>
      <c r="L3" s="211" t="s">
        <v>27</v>
      </c>
      <c r="M3" s="211" t="s">
        <v>28</v>
      </c>
      <c r="N3" s="211" t="s">
        <v>29</v>
      </c>
      <c r="O3" s="211" t="s">
        <v>30</v>
      </c>
      <c r="P3" s="381" t="s">
        <v>40</v>
      </c>
      <c r="Q3" s="375"/>
    </row>
    <row r="4" spans="2:18" ht="13.5" customHeight="1" thickBot="1" x14ac:dyDescent="0.3">
      <c r="B4" s="371"/>
      <c r="C4" s="372"/>
      <c r="D4" s="151">
        <v>10</v>
      </c>
      <c r="E4" s="52">
        <v>11</v>
      </c>
      <c r="F4" s="52">
        <v>12</v>
      </c>
      <c r="G4" s="52">
        <v>1</v>
      </c>
      <c r="H4" s="52">
        <v>2</v>
      </c>
      <c r="I4" s="52">
        <v>3</v>
      </c>
      <c r="J4" s="52">
        <v>4</v>
      </c>
      <c r="K4" s="52">
        <v>5</v>
      </c>
      <c r="L4" s="52">
        <v>6</v>
      </c>
      <c r="M4" s="52">
        <v>7</v>
      </c>
      <c r="N4" s="52">
        <v>8</v>
      </c>
      <c r="O4" s="52">
        <v>9</v>
      </c>
      <c r="P4" s="382"/>
      <c r="Q4" s="376"/>
    </row>
    <row r="5" spans="2:18" ht="15.75" thickBot="1" x14ac:dyDescent="0.3">
      <c r="B5" s="152" t="str">
        <f>Master!AF7</f>
        <v>AFGHANISTAN</v>
      </c>
      <c r="C5" s="151" t="str">
        <f>Master!AG7</f>
        <v>AF</v>
      </c>
      <c r="D5" s="66">
        <v>6</v>
      </c>
      <c r="E5" s="258">
        <v>4</v>
      </c>
      <c r="F5" s="258">
        <v>3</v>
      </c>
      <c r="G5" s="258">
        <v>0</v>
      </c>
      <c r="H5" s="258">
        <v>6</v>
      </c>
      <c r="I5" s="258">
        <v>4</v>
      </c>
      <c r="J5" s="258">
        <v>1</v>
      </c>
      <c r="K5" s="258">
        <v>0</v>
      </c>
      <c r="L5" s="258">
        <v>5</v>
      </c>
      <c r="M5" s="258">
        <v>0</v>
      </c>
      <c r="N5" s="258">
        <v>0</v>
      </c>
      <c r="O5" s="258">
        <v>0</v>
      </c>
      <c r="P5" s="258">
        <f>SUM(D5:O5)</f>
        <v>29</v>
      </c>
      <c r="Q5" s="152" t="str">
        <f>Master!AF7</f>
        <v>AFGHANISTAN</v>
      </c>
    </row>
    <row r="6" spans="2:18" ht="15.75" thickBot="1" x14ac:dyDescent="0.3">
      <c r="B6" s="152" t="str">
        <f>Master!AF8</f>
        <v>ARMENIA</v>
      </c>
      <c r="C6" s="151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2" t="str">
        <f>Master!AF8</f>
        <v>ARMENIA</v>
      </c>
    </row>
    <row r="7" spans="2:18" ht="15.75" thickBot="1" x14ac:dyDescent="0.3">
      <c r="B7" s="152" t="s">
        <v>780</v>
      </c>
      <c r="C7" s="151"/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152"/>
    </row>
    <row r="8" spans="2:18" ht="15.75" thickBot="1" x14ac:dyDescent="0.3">
      <c r="B8" s="152" t="str">
        <f>Master!AF10</f>
        <v>BELARUS</v>
      </c>
      <c r="C8" s="151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0</v>
      </c>
      <c r="Q8" s="152" t="str">
        <f>Master!AF10</f>
        <v>BELARUS</v>
      </c>
    </row>
    <row r="9" spans="2:18" ht="15.75" thickBot="1" x14ac:dyDescent="0.3">
      <c r="B9" s="152" t="str">
        <f>Master!AF11</f>
        <v>BURMA</v>
      </c>
      <c r="C9" s="151" t="str">
        <f>Master!AG11</f>
        <v>BM</v>
      </c>
      <c r="D9" s="258">
        <v>0</v>
      </c>
      <c r="E9" s="258">
        <v>0</v>
      </c>
      <c r="F9" s="258">
        <v>0</v>
      </c>
      <c r="G9" s="258">
        <v>5</v>
      </c>
      <c r="H9" s="258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8">
        <v>1</v>
      </c>
      <c r="P9" s="258">
        <f t="shared" si="0"/>
        <v>6</v>
      </c>
      <c r="Q9" s="152" t="str">
        <f>Master!AF11</f>
        <v>BURMA</v>
      </c>
      <c r="R9" s="263"/>
    </row>
    <row r="10" spans="2:18" ht="15.75" thickBot="1" x14ac:dyDescent="0.3">
      <c r="B10" s="152" t="str">
        <f>Master!AF12</f>
        <v>BHUTAN</v>
      </c>
      <c r="C10" s="151" t="str">
        <f>Master!AG12</f>
        <v>BT</v>
      </c>
      <c r="D10" s="258">
        <v>15</v>
      </c>
      <c r="E10" s="258">
        <v>6</v>
      </c>
      <c r="F10" s="258">
        <v>14</v>
      </c>
      <c r="G10" s="258">
        <v>4</v>
      </c>
      <c r="H10" s="258">
        <v>3</v>
      </c>
      <c r="I10" s="258">
        <v>0</v>
      </c>
      <c r="J10" s="258">
        <v>5</v>
      </c>
      <c r="K10" s="258">
        <v>11</v>
      </c>
      <c r="L10" s="258">
        <v>3</v>
      </c>
      <c r="M10" s="258">
        <v>0</v>
      </c>
      <c r="N10" s="258">
        <v>1</v>
      </c>
      <c r="O10" s="258">
        <v>21</v>
      </c>
      <c r="P10" s="258">
        <f t="shared" si="0"/>
        <v>83</v>
      </c>
      <c r="Q10" s="152" t="str">
        <f>Master!AF12</f>
        <v>BHUTAN</v>
      </c>
      <c r="R10" s="263"/>
    </row>
    <row r="11" spans="2:18" ht="15.75" thickBot="1" x14ac:dyDescent="0.3">
      <c r="B11" s="152" t="s">
        <v>779</v>
      </c>
      <c r="C11" s="151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2"/>
      <c r="R11" s="263"/>
    </row>
    <row r="12" spans="2:18" ht="15.75" thickBot="1" x14ac:dyDescent="0.3">
      <c r="B12" s="152" t="str">
        <f>Master!AF14</f>
        <v>BURUNDI</v>
      </c>
      <c r="C12" s="151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2" t="str">
        <f>Master!AF14</f>
        <v>BURUNDI</v>
      </c>
      <c r="R12" s="263"/>
    </row>
    <row r="13" spans="2:18" ht="15.75" thickBot="1" x14ac:dyDescent="0.3">
      <c r="B13" s="152" t="str">
        <f>Master!AF15</f>
        <v>CAMEROUN</v>
      </c>
      <c r="C13" s="151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152" t="str">
        <f>Master!AF15</f>
        <v>CAMEROUN</v>
      </c>
      <c r="R13" s="263"/>
    </row>
    <row r="14" spans="2:18" ht="15.75" thickBot="1" x14ac:dyDescent="0.3">
      <c r="B14" s="152" t="str">
        <f>Master!AF16</f>
        <v>CENTRAL AFR REP</v>
      </c>
      <c r="C14" s="151" t="str">
        <f>Master!AG16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f t="shared" si="0"/>
        <v>0</v>
      </c>
      <c r="Q14" s="152" t="str">
        <f>Master!AF16</f>
        <v>CENTRAL AFR REP</v>
      </c>
      <c r="R14" s="263"/>
    </row>
    <row r="15" spans="2:18" ht="15.75" thickBot="1" x14ac:dyDescent="0.3">
      <c r="B15" s="152" t="str">
        <f>Master!AF17</f>
        <v>CHINA</v>
      </c>
      <c r="C15" s="151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52" t="str">
        <f>Master!AF17</f>
        <v>CHINA</v>
      </c>
      <c r="R15" s="263"/>
    </row>
    <row r="16" spans="2:18" ht="15.75" thickBot="1" x14ac:dyDescent="0.3">
      <c r="B16" s="152" t="str">
        <f>Master!AF18</f>
        <v>DEM REP OF CONGO</v>
      </c>
      <c r="C16" s="151" t="str">
        <f>Master!AG18</f>
        <v>CG</v>
      </c>
      <c r="D16" s="258">
        <v>4</v>
      </c>
      <c r="E16" s="258">
        <v>0</v>
      </c>
      <c r="F16" s="258">
        <v>0</v>
      </c>
      <c r="G16" s="258">
        <v>1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  <c r="M16" s="258">
        <v>0</v>
      </c>
      <c r="N16" s="258">
        <v>0</v>
      </c>
      <c r="O16" s="258">
        <v>0</v>
      </c>
      <c r="P16" s="258">
        <f t="shared" si="0"/>
        <v>5</v>
      </c>
      <c r="Q16" s="152" t="str">
        <f>Master!AF18</f>
        <v>DEM REP OF CONGO</v>
      </c>
      <c r="R16" s="263"/>
    </row>
    <row r="17" spans="2:18" ht="15.75" thickBot="1" x14ac:dyDescent="0.3">
      <c r="B17" s="152" t="str">
        <f>Master!AF19</f>
        <v>COLUMBIA</v>
      </c>
      <c r="C17" s="151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0</v>
      </c>
      <c r="Q17" s="152" t="str">
        <f>Master!AF19</f>
        <v>COLUMBIA</v>
      </c>
      <c r="R17" s="263"/>
    </row>
    <row r="18" spans="2:18" ht="15.75" thickBot="1" x14ac:dyDescent="0.3">
      <c r="B18" s="152" t="str">
        <f>Master!AF20</f>
        <v>CONGO</v>
      </c>
      <c r="C18" s="151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52" t="str">
        <f>Master!AF20</f>
        <v>CONGO</v>
      </c>
      <c r="R18" s="263"/>
    </row>
    <row r="19" spans="2:18" ht="15.75" thickBot="1" x14ac:dyDescent="0.3">
      <c r="B19" s="152" t="str">
        <f>Master!AF21</f>
        <v>CUBA</v>
      </c>
      <c r="C19" s="151" t="str">
        <f>Master!AG21</f>
        <v>CU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8">
        <v>0</v>
      </c>
      <c r="O19" s="258">
        <v>0</v>
      </c>
      <c r="P19" s="258">
        <f t="shared" si="0"/>
        <v>0</v>
      </c>
      <c r="Q19" s="152" t="str">
        <f>Master!AF21</f>
        <v>CUBA</v>
      </c>
      <c r="R19" s="263"/>
    </row>
    <row r="20" spans="2:18" ht="15.75" thickBot="1" x14ac:dyDescent="0.3">
      <c r="B20" s="152" t="str">
        <f>Master!AF22</f>
        <v>CUBAN ENTRANT</v>
      </c>
      <c r="C20" s="151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52" t="str">
        <f>Master!AF22</f>
        <v>CUBAN ENTRANT</v>
      </c>
      <c r="R20" s="263"/>
    </row>
    <row r="21" spans="2:18" ht="15.75" thickBot="1" x14ac:dyDescent="0.3">
      <c r="B21" s="152" t="str">
        <f>Master!AF23</f>
        <v>ECUADOR</v>
      </c>
      <c r="C21" s="151" t="str">
        <f>Master!AG23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152" t="str">
        <f>Master!AF23</f>
        <v>ECUADOR</v>
      </c>
      <c r="R21" s="263"/>
    </row>
    <row r="22" spans="2:18" ht="15.75" thickBot="1" x14ac:dyDescent="0.3">
      <c r="B22" s="152" t="str">
        <f>Master!AF24</f>
        <v>EGYPT</v>
      </c>
      <c r="C22" s="151" t="str">
        <f>Master!AG24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152" t="str">
        <f>Master!AF24</f>
        <v>EGYPT</v>
      </c>
      <c r="R22" s="263"/>
    </row>
    <row r="23" spans="2:18" ht="15.75" thickBot="1" x14ac:dyDescent="0.3">
      <c r="B23" s="152" t="str">
        <f>Master!AF25</f>
        <v>ERITREA</v>
      </c>
      <c r="C23" s="151" t="str">
        <f>Master!AG25</f>
        <v>ER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f t="shared" si="0"/>
        <v>0</v>
      </c>
      <c r="Q23" s="152" t="str">
        <f>Master!AF25</f>
        <v>ERITREA</v>
      </c>
      <c r="R23" s="263"/>
    </row>
    <row r="24" spans="2:18" ht="15.75" thickBot="1" x14ac:dyDescent="0.3">
      <c r="B24" s="152" t="str">
        <f>Master!AF26</f>
        <v>ETHIOPIA</v>
      </c>
      <c r="C24" s="151" t="str">
        <f>Master!AG26</f>
        <v>ET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f t="shared" si="0"/>
        <v>0</v>
      </c>
      <c r="Q24" s="152" t="str">
        <f>Master!AF26</f>
        <v>ETHIOPIA</v>
      </c>
      <c r="R24" s="263"/>
    </row>
    <row r="25" spans="2:18" ht="15.75" thickBot="1" x14ac:dyDescent="0.3">
      <c r="B25" s="152" t="str">
        <f>Master!AF27</f>
        <v>FRANCE</v>
      </c>
      <c r="C25" s="151" t="str">
        <f>Master!AG27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152" t="str">
        <f>Master!AF27</f>
        <v>FRANCE</v>
      </c>
      <c r="R25" s="263"/>
    </row>
    <row r="26" spans="2:18" ht="15.75" thickBot="1" x14ac:dyDescent="0.3">
      <c r="B26" s="152" t="str">
        <f>Master!AF28</f>
        <v>GUINEA</v>
      </c>
      <c r="C26" s="151" t="str">
        <f>Master!AG28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0</v>
      </c>
      <c r="Q26" s="152" t="str">
        <f>Master!AF28</f>
        <v>GUINEA</v>
      </c>
      <c r="R26" s="263"/>
    </row>
    <row r="27" spans="2:18" ht="15.75" thickBot="1" x14ac:dyDescent="0.3">
      <c r="B27" s="152" t="str">
        <f>Master!AF29</f>
        <v>HAITI</v>
      </c>
      <c r="C27" s="151" t="str">
        <f>Master!AG29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258">
        <v>0</v>
      </c>
      <c r="L27" s="258">
        <v>0</v>
      </c>
      <c r="M27" s="258">
        <v>0</v>
      </c>
      <c r="N27" s="258">
        <v>0</v>
      </c>
      <c r="O27" s="258">
        <v>0</v>
      </c>
      <c r="P27" s="258">
        <f t="shared" si="0"/>
        <v>0</v>
      </c>
      <c r="Q27" s="152" t="str">
        <f>Master!AF29</f>
        <v>HAITI</v>
      </c>
      <c r="R27" s="263"/>
    </row>
    <row r="28" spans="2:18" ht="15.75" thickBot="1" x14ac:dyDescent="0.3">
      <c r="B28" s="152" t="str">
        <f>Master!AF30</f>
        <v>INDIA</v>
      </c>
      <c r="C28" s="151" t="str">
        <f>Master!AG30</f>
        <v>IN</v>
      </c>
      <c r="D28" s="258">
        <v>1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1</v>
      </c>
      <c r="P28" s="258">
        <f t="shared" si="0"/>
        <v>2</v>
      </c>
      <c r="Q28" s="152" t="str">
        <f>Master!AF30</f>
        <v>INDIA</v>
      </c>
      <c r="R28" s="263"/>
    </row>
    <row r="29" spans="2:18" ht="15.75" thickBot="1" x14ac:dyDescent="0.3">
      <c r="B29" s="152" t="str">
        <f>Master!AF31</f>
        <v>INDONESIA</v>
      </c>
      <c r="C29" s="151" t="str">
        <f>Master!AG31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0</v>
      </c>
      <c r="Q29" s="152" t="str">
        <f>Master!AF31</f>
        <v>INDONESIA</v>
      </c>
      <c r="R29" s="263"/>
    </row>
    <row r="30" spans="2:18" ht="15.75" thickBot="1" x14ac:dyDescent="0.3">
      <c r="B30" s="152" t="str">
        <f>Master!AF32</f>
        <v>IRAN</v>
      </c>
      <c r="C30" s="151" t="str">
        <f>Master!AG32</f>
        <v>IR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 t="shared" si="0"/>
        <v>0</v>
      </c>
      <c r="Q30" s="152" t="str">
        <f>Master!AF32</f>
        <v>IRAN</v>
      </c>
      <c r="R30" s="263"/>
    </row>
    <row r="31" spans="2:18" ht="15.75" thickBot="1" x14ac:dyDescent="0.3">
      <c r="B31" s="152" t="str">
        <f>Master!AF33</f>
        <v>IRAQ</v>
      </c>
      <c r="C31" s="151" t="str">
        <f>Master!AG33</f>
        <v>IZ</v>
      </c>
      <c r="D31" s="258">
        <v>0</v>
      </c>
      <c r="E31" s="258">
        <v>0</v>
      </c>
      <c r="F31" s="258">
        <v>4</v>
      </c>
      <c r="G31" s="258">
        <v>0</v>
      </c>
      <c r="H31" s="258">
        <v>7</v>
      </c>
      <c r="I31" s="258">
        <v>0</v>
      </c>
      <c r="J31" s="258">
        <v>0</v>
      </c>
      <c r="K31" s="258">
        <v>5</v>
      </c>
      <c r="L31" s="258">
        <v>0</v>
      </c>
      <c r="M31" s="258">
        <v>0</v>
      </c>
      <c r="N31" s="258">
        <v>0</v>
      </c>
      <c r="O31" s="258">
        <v>0</v>
      </c>
      <c r="P31" s="258">
        <f t="shared" si="0"/>
        <v>16</v>
      </c>
      <c r="Q31" s="152" t="str">
        <f>Master!AF33</f>
        <v>IRAQ</v>
      </c>
      <c r="R31" s="263"/>
    </row>
    <row r="32" spans="2:18" ht="15.75" thickBot="1" x14ac:dyDescent="0.3">
      <c r="B32" s="152" t="str">
        <f>Master!AF34</f>
        <v>IVORY COAST</v>
      </c>
      <c r="C32" s="151" t="str">
        <f>Master!AG34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 t="shared" si="0"/>
        <v>0</v>
      </c>
      <c r="Q32" s="152" t="str">
        <f>Master!AF34</f>
        <v>IVORY COAST</v>
      </c>
      <c r="R32" s="263"/>
    </row>
    <row r="33" spans="2:18" ht="15.75" thickBot="1" x14ac:dyDescent="0.3">
      <c r="B33" s="152" t="str">
        <f>Master!AF35</f>
        <v>JORDAN</v>
      </c>
      <c r="C33" s="151" t="str">
        <f>Master!AG35</f>
        <v>JO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0</v>
      </c>
      <c r="Q33" s="152" t="str">
        <f>Master!AF35</f>
        <v>JORDAN</v>
      </c>
      <c r="R33" s="263"/>
    </row>
    <row r="34" spans="2:18" ht="15.75" thickBot="1" x14ac:dyDescent="0.3">
      <c r="B34" s="152" t="str">
        <f>Master!AF36</f>
        <v>KAZAKHSTAN</v>
      </c>
      <c r="C34" s="151" t="str">
        <f>Master!AG36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152" t="str">
        <f>Master!AF36</f>
        <v>KAZAKHSTAN</v>
      </c>
      <c r="R34" s="263"/>
    </row>
    <row r="35" spans="2:18" ht="15.75" thickBot="1" x14ac:dyDescent="0.3">
      <c r="B35" s="152" t="str">
        <f>Master!AF37</f>
        <v>KENYA</v>
      </c>
      <c r="C35" s="151" t="str">
        <f>Master!AG37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152" t="str">
        <f>Master!AF37</f>
        <v>KENYA</v>
      </c>
      <c r="R35" s="263"/>
    </row>
    <row r="36" spans="2:18" ht="15.75" thickBot="1" x14ac:dyDescent="0.3">
      <c r="B36" s="152" t="str">
        <f>Master!AF38</f>
        <v>LEBANON</v>
      </c>
      <c r="C36" s="151" t="str">
        <f>Master!AG38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152" t="str">
        <f>Master!AF38</f>
        <v>LEBANON</v>
      </c>
      <c r="R36" s="263"/>
    </row>
    <row r="37" spans="2:18" ht="15.75" thickBot="1" x14ac:dyDescent="0.3">
      <c r="B37" s="152" t="str">
        <f>Master!AF39</f>
        <v>LIBERIA</v>
      </c>
      <c r="C37" s="151" t="str">
        <f>Master!AG39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152" t="str">
        <f>Master!AF39</f>
        <v>LIBERIA</v>
      </c>
      <c r="R37" s="263"/>
    </row>
    <row r="38" spans="2:18" ht="15.75" thickBot="1" x14ac:dyDescent="0.3">
      <c r="B38" s="152" t="str">
        <f>Master!AF40</f>
        <v>LIBYA</v>
      </c>
      <c r="C38" s="151" t="str">
        <f>Master!AG40</f>
        <v>LY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0</v>
      </c>
      <c r="Q38" s="152" t="str">
        <f>Master!AF40</f>
        <v>LIBYA</v>
      </c>
      <c r="R38" s="263"/>
    </row>
    <row r="39" spans="2:18" ht="15.75" thickBot="1" x14ac:dyDescent="0.3">
      <c r="B39" s="152" t="str">
        <f>Master!AF41</f>
        <v>MOLDOVA</v>
      </c>
      <c r="C39" s="151" t="str">
        <f>Master!AG41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0</v>
      </c>
      <c r="Q39" s="152" t="str">
        <f>Master!AF41</f>
        <v>MOLDOVA</v>
      </c>
      <c r="R39" s="263"/>
    </row>
    <row r="40" spans="2:18" ht="15.75" thickBot="1" x14ac:dyDescent="0.3">
      <c r="B40" s="152" t="str">
        <f>Master!AF42</f>
        <v>MALI</v>
      </c>
      <c r="C40" s="151" t="str">
        <f>Master!AG42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152" t="str">
        <f>Master!AF42</f>
        <v>MALI</v>
      </c>
      <c r="R40" s="263"/>
    </row>
    <row r="41" spans="2:18" ht="15.75" thickBot="1" x14ac:dyDescent="0.3">
      <c r="B41" s="152" t="str">
        <f>Master!AF43</f>
        <v>MALAYSIA</v>
      </c>
      <c r="C41" s="151" t="str">
        <f>Master!AG43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 t="shared" si="0"/>
        <v>0</v>
      </c>
      <c r="Q41" s="152" t="str">
        <f>Master!AF43</f>
        <v>MALAYSIA</v>
      </c>
      <c r="R41" s="263"/>
    </row>
    <row r="42" spans="2:18" ht="15.75" thickBot="1" x14ac:dyDescent="0.3">
      <c r="B42" s="152" t="str">
        <f>Master!AF44</f>
        <v>NAMIBIA</v>
      </c>
      <c r="C42" s="151" t="str">
        <f>Master!AG44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152" t="str">
        <f>Master!AF44</f>
        <v>NAMIBIA</v>
      </c>
      <c r="R42" s="263"/>
    </row>
    <row r="43" spans="2:18" ht="15.75" thickBot="1" x14ac:dyDescent="0.3">
      <c r="B43" s="152" t="str">
        <f>Master!AF45</f>
        <v>NEPAL</v>
      </c>
      <c r="C43" s="151" t="str">
        <f>Master!AG45</f>
        <v>NP</v>
      </c>
      <c r="D43" s="258">
        <v>0</v>
      </c>
      <c r="E43" s="258">
        <v>0</v>
      </c>
      <c r="F43" s="258">
        <v>0</v>
      </c>
      <c r="G43" s="258">
        <v>0</v>
      </c>
      <c r="H43" s="258">
        <v>0</v>
      </c>
      <c r="I43" s="258">
        <v>0</v>
      </c>
      <c r="J43" s="258">
        <v>2</v>
      </c>
      <c r="K43" s="258">
        <v>1</v>
      </c>
      <c r="L43" s="258">
        <v>0</v>
      </c>
      <c r="M43" s="258">
        <v>0</v>
      </c>
      <c r="N43" s="258">
        <v>0</v>
      </c>
      <c r="O43" s="258">
        <v>0</v>
      </c>
      <c r="P43" s="258">
        <f t="shared" si="0"/>
        <v>3</v>
      </c>
      <c r="Q43" s="152" t="str">
        <f>Master!AF45</f>
        <v>NEPAL</v>
      </c>
      <c r="R43" s="263"/>
    </row>
    <row r="44" spans="2:18" ht="15.75" thickBot="1" x14ac:dyDescent="0.3">
      <c r="B44" s="152" t="str">
        <f>Master!AF46</f>
        <v>NIGERIA</v>
      </c>
      <c r="C44" s="151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2" t="str">
        <f>Master!AF46</f>
        <v>NIGERIA</v>
      </c>
      <c r="R44" s="263"/>
    </row>
    <row r="45" spans="2:18" ht="15.75" thickBot="1" x14ac:dyDescent="0.3">
      <c r="B45" s="152" t="str">
        <f>Master!AF47</f>
        <v>PAKISTAN</v>
      </c>
      <c r="C45" s="151" t="str">
        <f>Master!AG47</f>
        <v>PK</v>
      </c>
      <c r="D45" s="258">
        <v>0</v>
      </c>
      <c r="E45" s="258">
        <v>3</v>
      </c>
      <c r="F45" s="258">
        <v>0</v>
      </c>
      <c r="G45" s="258">
        <v>4</v>
      </c>
      <c r="H45" s="258">
        <v>0</v>
      </c>
      <c r="I45" s="258">
        <v>0</v>
      </c>
      <c r="J45" s="258">
        <v>5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 t="shared" si="0"/>
        <v>12</v>
      </c>
      <c r="Q45" s="152" t="str">
        <f>Master!AF47</f>
        <v>PAKISTAN</v>
      </c>
      <c r="R45" s="263"/>
    </row>
    <row r="46" spans="2:18" ht="15.75" thickBot="1" x14ac:dyDescent="0.3">
      <c r="B46" s="152" t="str">
        <f>Master!AF48</f>
        <v>PITCAIRN ISLANDS</v>
      </c>
      <c r="C46" s="151" t="str">
        <f>Master!AG48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 t="shared" si="0"/>
        <v>0</v>
      </c>
      <c r="Q46" s="152" t="str">
        <f>Master!AF48</f>
        <v>PITCAIRN ISLANDS</v>
      </c>
      <c r="R46" s="263"/>
    </row>
    <row r="47" spans="2:18" ht="15.75" thickBot="1" x14ac:dyDescent="0.3">
      <c r="B47" s="152" t="str">
        <f>Master!AF49</f>
        <v>RWANDA</v>
      </c>
      <c r="C47" s="151" t="str">
        <f>Master!AG49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f t="shared" si="0"/>
        <v>0</v>
      </c>
      <c r="Q47" s="152" t="str">
        <f>Master!AF49</f>
        <v>RWANDA</v>
      </c>
      <c r="R47" s="263"/>
    </row>
    <row r="48" spans="2:18" ht="15.75" thickBot="1" x14ac:dyDescent="0.3">
      <c r="B48" s="152" t="str">
        <f>Master!AF50</f>
        <v>RUSSIA</v>
      </c>
      <c r="C48" s="151" t="str">
        <f>Master!AG50</f>
        <v>RS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f t="shared" si="0"/>
        <v>0</v>
      </c>
      <c r="Q48" s="152" t="str">
        <f>Master!AF50</f>
        <v>RUSSIA</v>
      </c>
      <c r="R48" s="263"/>
    </row>
    <row r="49" spans="2:18" ht="15.75" thickBot="1" x14ac:dyDescent="0.3">
      <c r="B49" s="152" t="str">
        <f>Master!AF51</f>
        <v>SIERRA LEON</v>
      </c>
      <c r="C49" s="151" t="str">
        <f>Master!AG51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 t="shared" si="0"/>
        <v>0</v>
      </c>
      <c r="Q49" s="152" t="str">
        <f>Master!AF51</f>
        <v>SIERRA LEON</v>
      </c>
      <c r="R49" s="263"/>
    </row>
    <row r="50" spans="2:18" ht="15.75" thickBot="1" x14ac:dyDescent="0.3">
      <c r="B50" s="152" t="str">
        <f>Master!AF52</f>
        <v>SOMALIA</v>
      </c>
      <c r="C50" s="151" t="str">
        <f>Master!AG52</f>
        <v>SO</v>
      </c>
      <c r="D50" s="258">
        <v>4</v>
      </c>
      <c r="E50" s="258">
        <v>8</v>
      </c>
      <c r="F50" s="258">
        <v>4</v>
      </c>
      <c r="G50" s="258">
        <v>0</v>
      </c>
      <c r="H50" s="258">
        <v>1</v>
      </c>
      <c r="I50" s="258">
        <v>3</v>
      </c>
      <c r="J50" s="258">
        <v>0</v>
      </c>
      <c r="K50" s="258">
        <v>1</v>
      </c>
      <c r="L50" s="258">
        <v>0</v>
      </c>
      <c r="M50" s="258">
        <v>1</v>
      </c>
      <c r="N50" s="258">
        <v>1</v>
      </c>
      <c r="O50" s="258">
        <v>11</v>
      </c>
      <c r="P50" s="258">
        <f t="shared" si="0"/>
        <v>34</v>
      </c>
      <c r="Q50" s="152" t="str">
        <f>Master!AF52</f>
        <v>SOMALIA</v>
      </c>
      <c r="R50" s="263"/>
    </row>
    <row r="51" spans="2:18" ht="15.75" thickBot="1" x14ac:dyDescent="0.3">
      <c r="B51" s="152" t="str">
        <f>Master!AF53</f>
        <v>SPAIN</v>
      </c>
      <c r="C51" s="151" t="str">
        <f>Master!AG53</f>
        <v>ES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f t="shared" si="0"/>
        <v>0</v>
      </c>
      <c r="Q51" s="152" t="str">
        <f>Master!AF53</f>
        <v>SPAIN</v>
      </c>
      <c r="R51" s="263"/>
    </row>
    <row r="52" spans="2:18" ht="15.75" thickBot="1" x14ac:dyDescent="0.3">
      <c r="B52" s="152" t="str">
        <f>Master!AF54</f>
        <v>SOUTH SUDAN</v>
      </c>
      <c r="C52" s="151" t="str">
        <f>Master!AG54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0</v>
      </c>
      <c r="Q52" s="152" t="str">
        <f>Master!AF54</f>
        <v>SOUTH SUDAN</v>
      </c>
      <c r="R52" s="263"/>
    </row>
    <row r="53" spans="2:18" ht="15.75" thickBot="1" x14ac:dyDescent="0.3">
      <c r="B53" s="152" t="str">
        <f>Master!AF55</f>
        <v>SRI LANKA</v>
      </c>
      <c r="C53" s="151" t="str">
        <f>Master!AG55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152" t="str">
        <f>Master!AF55</f>
        <v>SRI LANKA</v>
      </c>
      <c r="R53" s="263"/>
    </row>
    <row r="54" spans="2:18" ht="15.75" thickBot="1" x14ac:dyDescent="0.3">
      <c r="B54" s="152" t="str">
        <f>Master!AF56</f>
        <v>SUDAN</v>
      </c>
      <c r="C54" s="151" t="str">
        <f>Master!AG56</f>
        <v>SU</v>
      </c>
      <c r="D54" s="258">
        <v>0</v>
      </c>
      <c r="E54" s="258">
        <v>0</v>
      </c>
      <c r="F54" s="258">
        <v>0</v>
      </c>
      <c r="G54" s="258">
        <v>2</v>
      </c>
      <c r="H54" s="258">
        <v>0</v>
      </c>
      <c r="I54" s="258">
        <v>0</v>
      </c>
      <c r="J54" s="258">
        <v>0</v>
      </c>
      <c r="K54" s="258">
        <v>0</v>
      </c>
      <c r="L54" s="258">
        <v>0</v>
      </c>
      <c r="M54" s="258">
        <v>0</v>
      </c>
      <c r="N54" s="258">
        <v>0</v>
      </c>
      <c r="O54" s="258">
        <v>0</v>
      </c>
      <c r="P54" s="258">
        <f t="shared" si="0"/>
        <v>2</v>
      </c>
      <c r="Q54" s="152" t="str">
        <f>Master!AF56</f>
        <v>SUDAN</v>
      </c>
      <c r="R54" s="263"/>
    </row>
    <row r="55" spans="2:18" ht="15.75" thickBot="1" x14ac:dyDescent="0.3">
      <c r="B55" s="152" t="str">
        <f>Master!AF57</f>
        <v>SYRIA</v>
      </c>
      <c r="C55" s="151" t="str">
        <f>Master!AG57</f>
        <v>SY</v>
      </c>
      <c r="D55" s="258">
        <v>8</v>
      </c>
      <c r="E55" s="258">
        <v>0</v>
      </c>
      <c r="F55" s="258">
        <v>15</v>
      </c>
      <c r="G55" s="258">
        <v>12</v>
      </c>
      <c r="H55" s="258">
        <v>0</v>
      </c>
      <c r="I55" s="258">
        <v>0</v>
      </c>
      <c r="J55" s="258">
        <v>0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f t="shared" si="0"/>
        <v>35</v>
      </c>
      <c r="Q55" s="152" t="str">
        <f>Master!AF57</f>
        <v>SYRIA</v>
      </c>
      <c r="R55" s="263"/>
    </row>
    <row r="56" spans="2:18" ht="15.75" thickBot="1" x14ac:dyDescent="0.3">
      <c r="B56" s="152" t="str">
        <f>Master!AF58</f>
        <v>TAJIKISTAN</v>
      </c>
      <c r="C56" s="151" t="str">
        <f>Master!AG58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152" t="str">
        <f>Master!AF58</f>
        <v>TAJIKISTAN</v>
      </c>
      <c r="R56" s="263"/>
    </row>
    <row r="57" spans="2:18" ht="15.75" thickBot="1" x14ac:dyDescent="0.3">
      <c r="B57" s="152" t="str">
        <f>Master!AF59</f>
        <v>TANZANIA</v>
      </c>
      <c r="C57" s="151" t="str">
        <f>Master!AG59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152" t="str">
        <f>Master!AF59</f>
        <v>TANZANIA</v>
      </c>
      <c r="R57" s="263"/>
    </row>
    <row r="58" spans="2:18" ht="15.75" thickBot="1" x14ac:dyDescent="0.3">
      <c r="B58" s="152" t="str">
        <f>Master!AF60</f>
        <v>THAILAND</v>
      </c>
      <c r="C58" s="151" t="str">
        <f>Master!AG60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152" t="str">
        <f>Master!AF60</f>
        <v>THAILAND</v>
      </c>
      <c r="R58" s="263"/>
    </row>
    <row r="59" spans="2:18" ht="15.75" thickBot="1" x14ac:dyDescent="0.3">
      <c r="B59" s="152" t="str">
        <f>Master!AF61</f>
        <v>UGANDA</v>
      </c>
      <c r="C59" s="151" t="str">
        <f>Master!AG61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0</v>
      </c>
      <c r="Q59" s="152" t="str">
        <f>Master!AF61</f>
        <v>UGANDA</v>
      </c>
      <c r="R59" s="263"/>
    </row>
    <row r="60" spans="2:18" ht="15.75" thickBot="1" x14ac:dyDescent="0.3">
      <c r="B60" s="152" t="str">
        <f>Master!AF62</f>
        <v>UKRAINE</v>
      </c>
      <c r="C60" s="151" t="str">
        <f>Master!AG62</f>
        <v>UP</v>
      </c>
      <c r="D60" s="258">
        <v>0</v>
      </c>
      <c r="E60" s="258">
        <v>0</v>
      </c>
      <c r="F60" s="258">
        <v>0</v>
      </c>
      <c r="G60" s="258">
        <v>0</v>
      </c>
      <c r="H60" s="258">
        <v>0</v>
      </c>
      <c r="I60" s="258">
        <v>0</v>
      </c>
      <c r="J60" s="258">
        <v>0</v>
      </c>
      <c r="K60" s="258">
        <v>0</v>
      </c>
      <c r="L60" s="258">
        <v>0</v>
      </c>
      <c r="M60" s="258">
        <v>0</v>
      </c>
      <c r="N60" s="258">
        <v>0</v>
      </c>
      <c r="O60" s="258">
        <v>7</v>
      </c>
      <c r="P60" s="258">
        <f t="shared" si="0"/>
        <v>7</v>
      </c>
      <c r="Q60" s="152" t="str">
        <f>Master!AF62</f>
        <v>UKRAINE</v>
      </c>
      <c r="R60" s="263"/>
    </row>
    <row r="61" spans="2:18" ht="15.75" thickBot="1" x14ac:dyDescent="0.3">
      <c r="B61" s="152" t="str">
        <f>Master!AF63</f>
        <v>UZBEKISTAN</v>
      </c>
      <c r="C61" s="151" t="str">
        <f>Master!AG63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 t="shared" si="0"/>
        <v>0</v>
      </c>
      <c r="Q61" s="152" t="str">
        <f>Master!AF63</f>
        <v>UZBEKISTAN</v>
      </c>
      <c r="R61" s="263"/>
    </row>
    <row r="62" spans="2:18" ht="15.75" thickBot="1" x14ac:dyDescent="0.3">
      <c r="B62" s="152" t="str">
        <f>Master!AF64</f>
        <v>VIETNAM</v>
      </c>
      <c r="C62" s="151" t="str">
        <f>Master!AG64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0</v>
      </c>
      <c r="P62" s="258">
        <f t="shared" si="0"/>
        <v>0</v>
      </c>
      <c r="Q62" s="152" t="str">
        <f>Master!AF64</f>
        <v>VIETNAM</v>
      </c>
      <c r="R62" s="263"/>
    </row>
    <row r="63" spans="2:18" ht="15.75" thickBot="1" x14ac:dyDescent="0.3">
      <c r="B63" s="152" t="str">
        <f>Master!AF65</f>
        <v>ZAMBIA</v>
      </c>
      <c r="C63" s="151" t="str">
        <f>Master!AG65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 t="shared" si="0"/>
        <v>0</v>
      </c>
      <c r="Q63" s="152" t="str">
        <f>Master!AF65</f>
        <v>ZAMBIA</v>
      </c>
      <c r="R63" s="263"/>
    </row>
    <row r="64" spans="2:18" ht="15.75" thickBot="1" x14ac:dyDescent="0.3">
      <c r="B64" s="245" t="s">
        <v>53</v>
      </c>
      <c r="C64" s="246"/>
      <c r="D64" s="249">
        <f>SUM(D5:D63)</f>
        <v>38</v>
      </c>
      <c r="E64" s="249">
        <f>SUM(E5:E63)</f>
        <v>21</v>
      </c>
      <c r="F64" s="249">
        <f>SUM(F5:F63)</f>
        <v>40</v>
      </c>
      <c r="G64" s="249">
        <v>28</v>
      </c>
      <c r="H64" s="249">
        <v>17</v>
      </c>
      <c r="I64" s="249">
        <v>7</v>
      </c>
      <c r="J64" s="249">
        <v>13</v>
      </c>
      <c r="K64" s="249">
        <v>18</v>
      </c>
      <c r="L64" s="249">
        <v>8</v>
      </c>
      <c r="M64" s="249">
        <v>1</v>
      </c>
      <c r="N64" s="249">
        <v>2</v>
      </c>
      <c r="O64" s="249">
        <v>41</v>
      </c>
      <c r="P64" s="249">
        <f>SUM(D64:O64)</f>
        <v>234</v>
      </c>
      <c r="Q64" s="240" t="s">
        <v>53</v>
      </c>
      <c r="R64" s="263"/>
    </row>
    <row r="65" spans="2:18" ht="15.75" thickBot="1" x14ac:dyDescent="0.3"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</row>
    <row r="66" spans="2:18" ht="15.75" thickBot="1" x14ac:dyDescent="0.3">
      <c r="B66" s="237" t="s">
        <v>59</v>
      </c>
      <c r="C66" s="255" t="s">
        <v>768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6"/>
      <c r="R66" s="263"/>
    </row>
    <row r="67" spans="2:18" ht="15.75" thickBot="1" x14ac:dyDescent="0.3">
      <c r="B67" s="348"/>
      <c r="C67" s="349"/>
      <c r="D67" s="357" t="s">
        <v>19</v>
      </c>
      <c r="E67" s="357" t="s">
        <v>20</v>
      </c>
      <c r="F67" s="357" t="s">
        <v>21</v>
      </c>
      <c r="G67" s="357" t="s">
        <v>22</v>
      </c>
      <c r="H67" s="357" t="s">
        <v>23</v>
      </c>
      <c r="I67" s="357" t="s">
        <v>24</v>
      </c>
      <c r="J67" s="357" t="s">
        <v>25</v>
      </c>
      <c r="K67" s="357" t="s">
        <v>26</v>
      </c>
      <c r="L67" s="357" t="s">
        <v>27</v>
      </c>
      <c r="M67" s="357" t="s">
        <v>28</v>
      </c>
      <c r="N67" s="357" t="s">
        <v>29</v>
      </c>
      <c r="O67" s="357" t="s">
        <v>30</v>
      </c>
      <c r="P67" s="356" t="s">
        <v>40</v>
      </c>
      <c r="Q67" s="352"/>
      <c r="R67" s="263"/>
    </row>
    <row r="68" spans="2:18" ht="15.75" thickBot="1" x14ac:dyDescent="0.3">
      <c r="B68" s="350"/>
      <c r="C68" s="351"/>
      <c r="D68" s="151">
        <v>10</v>
      </c>
      <c r="E68" s="254">
        <v>11</v>
      </c>
      <c r="F68" s="254">
        <v>12</v>
      </c>
      <c r="G68" s="254">
        <v>1</v>
      </c>
      <c r="H68" s="254">
        <v>2</v>
      </c>
      <c r="I68" s="254">
        <v>3</v>
      </c>
      <c r="J68" s="254">
        <v>4</v>
      </c>
      <c r="K68" s="254">
        <v>5</v>
      </c>
      <c r="L68" s="254">
        <v>6</v>
      </c>
      <c r="M68" s="254">
        <v>7</v>
      </c>
      <c r="N68" s="254">
        <v>8</v>
      </c>
      <c r="O68" s="254">
        <v>9</v>
      </c>
      <c r="P68" s="357"/>
      <c r="Q68" s="353"/>
      <c r="R68" s="263"/>
    </row>
    <row r="69" spans="2:18" ht="15.75" thickBot="1" x14ac:dyDescent="0.3">
      <c r="B69" s="152" t="str">
        <f>Master!AF7</f>
        <v>AFGHANISTAN</v>
      </c>
      <c r="C69" s="151" t="str">
        <f>Master!AG7</f>
        <v>AF</v>
      </c>
      <c r="D69" s="258">
        <v>0</v>
      </c>
      <c r="E69" s="258">
        <v>0</v>
      </c>
      <c r="F69" s="258">
        <v>0</v>
      </c>
      <c r="G69" s="258">
        <v>0</v>
      </c>
      <c r="H69" s="258">
        <v>0</v>
      </c>
      <c r="I69" s="258">
        <v>0</v>
      </c>
      <c r="J69" s="258">
        <v>0</v>
      </c>
      <c r="K69" s="258">
        <v>0</v>
      </c>
      <c r="L69" s="258">
        <v>0</v>
      </c>
      <c r="M69" s="258">
        <v>0</v>
      </c>
      <c r="N69" s="258">
        <v>0</v>
      </c>
      <c r="O69" s="258">
        <v>0</v>
      </c>
      <c r="P69" s="258">
        <f>SUM(D69:O69)</f>
        <v>0</v>
      </c>
      <c r="Q69" s="152" t="str">
        <f>Master!AF7</f>
        <v>AFGHANISTAN</v>
      </c>
      <c r="R69" s="263"/>
    </row>
    <row r="70" spans="2:18" ht="15.75" thickBot="1" x14ac:dyDescent="0.3">
      <c r="B70" s="152" t="str">
        <f>Master!AF8</f>
        <v>ARMENIA</v>
      </c>
      <c r="C70" s="151" t="str">
        <f>Master!AG8</f>
        <v>AM</v>
      </c>
      <c r="D70" s="258">
        <v>0</v>
      </c>
      <c r="E70" s="258">
        <v>0</v>
      </c>
      <c r="F70" s="258">
        <v>0</v>
      </c>
      <c r="G70" s="258">
        <v>0</v>
      </c>
      <c r="H70" s="258">
        <v>0</v>
      </c>
      <c r="I70" s="258">
        <v>0</v>
      </c>
      <c r="J70" s="258">
        <v>0</v>
      </c>
      <c r="K70" s="258">
        <v>0</v>
      </c>
      <c r="L70" s="258">
        <v>0</v>
      </c>
      <c r="M70" s="258">
        <v>0</v>
      </c>
      <c r="N70" s="258">
        <v>0</v>
      </c>
      <c r="O70" s="258">
        <v>0</v>
      </c>
      <c r="P70" s="258">
        <f t="shared" ref="P70:P127" si="1">SUM(D70:O70)</f>
        <v>0</v>
      </c>
      <c r="Q70" s="152" t="str">
        <f>Master!AF8</f>
        <v>ARMENIA</v>
      </c>
      <c r="R70" s="263"/>
    </row>
    <row r="71" spans="2:18" ht="15.75" thickBot="1" x14ac:dyDescent="0.3">
      <c r="B71" s="152" t="s">
        <v>780</v>
      </c>
      <c r="C71" s="151" t="s">
        <v>333</v>
      </c>
      <c r="D71" s="258">
        <v>0</v>
      </c>
      <c r="E71" s="258">
        <v>0</v>
      </c>
      <c r="F71" s="258">
        <v>0</v>
      </c>
      <c r="G71" s="258">
        <v>0</v>
      </c>
      <c r="H71" s="258">
        <v>0</v>
      </c>
      <c r="I71" s="258">
        <v>0</v>
      </c>
      <c r="J71" s="258">
        <v>0</v>
      </c>
      <c r="K71" s="258">
        <v>0</v>
      </c>
      <c r="L71" s="258">
        <v>0</v>
      </c>
      <c r="M71" s="258">
        <v>0</v>
      </c>
      <c r="N71" s="258">
        <v>0</v>
      </c>
      <c r="O71" s="258">
        <v>0</v>
      </c>
      <c r="P71" s="258">
        <f t="shared" si="1"/>
        <v>0</v>
      </c>
      <c r="Q71" s="152"/>
      <c r="R71" s="263"/>
    </row>
    <row r="72" spans="2:18" ht="15.75" thickBot="1" x14ac:dyDescent="0.3">
      <c r="B72" s="152" t="str">
        <f>Master!AF10</f>
        <v>BELARUS</v>
      </c>
      <c r="C72" s="151" t="str">
        <f>Master!AG10</f>
        <v>BO</v>
      </c>
      <c r="D72" s="258">
        <v>0</v>
      </c>
      <c r="E72" s="258">
        <v>0</v>
      </c>
      <c r="F72" s="258">
        <v>0</v>
      </c>
      <c r="G72" s="258">
        <v>0</v>
      </c>
      <c r="H72" s="258">
        <v>0</v>
      </c>
      <c r="I72" s="258">
        <v>0</v>
      </c>
      <c r="J72" s="258">
        <v>0</v>
      </c>
      <c r="K72" s="258">
        <v>0</v>
      </c>
      <c r="L72" s="258">
        <v>0</v>
      </c>
      <c r="M72" s="258">
        <v>0</v>
      </c>
      <c r="N72" s="258">
        <v>0</v>
      </c>
      <c r="O72" s="258">
        <v>0</v>
      </c>
      <c r="P72" s="258">
        <f t="shared" si="1"/>
        <v>0</v>
      </c>
      <c r="Q72" s="152" t="str">
        <f>Master!AF10</f>
        <v>BELARUS</v>
      </c>
      <c r="R72" s="263"/>
    </row>
    <row r="73" spans="2:18" ht="15.75" thickBot="1" x14ac:dyDescent="0.3">
      <c r="B73" s="152" t="str">
        <f>Master!AF11</f>
        <v>BURMA</v>
      </c>
      <c r="C73" s="151" t="str">
        <f>Master!AG11</f>
        <v>BM</v>
      </c>
      <c r="D73" s="258">
        <v>0</v>
      </c>
      <c r="E73" s="258">
        <v>0</v>
      </c>
      <c r="F73" s="258">
        <v>0</v>
      </c>
      <c r="G73" s="258">
        <v>0</v>
      </c>
      <c r="H73" s="258">
        <v>0</v>
      </c>
      <c r="I73" s="258">
        <v>0</v>
      </c>
      <c r="J73" s="258">
        <v>0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f t="shared" si="1"/>
        <v>0</v>
      </c>
      <c r="Q73" s="152" t="str">
        <f>Master!AF11</f>
        <v>BURMA</v>
      </c>
      <c r="R73" s="263"/>
    </row>
    <row r="74" spans="2:18" ht="15.75" thickBot="1" x14ac:dyDescent="0.3">
      <c r="B74" s="152" t="str">
        <f>Master!AF12</f>
        <v>BHUTAN</v>
      </c>
      <c r="C74" s="151" t="str">
        <f>Master!AG12</f>
        <v>BT</v>
      </c>
      <c r="D74" s="258">
        <v>0</v>
      </c>
      <c r="E74" s="258">
        <v>0</v>
      </c>
      <c r="F74" s="258">
        <v>0</v>
      </c>
      <c r="G74" s="258">
        <v>0</v>
      </c>
      <c r="H74" s="258">
        <v>0</v>
      </c>
      <c r="I74" s="258">
        <v>0</v>
      </c>
      <c r="J74" s="258">
        <v>0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f t="shared" si="1"/>
        <v>0</v>
      </c>
      <c r="Q74" s="152" t="str">
        <f>Master!AF12</f>
        <v>BHUTAN</v>
      </c>
      <c r="R74" s="263"/>
    </row>
    <row r="75" spans="2:18" ht="15.75" thickBot="1" x14ac:dyDescent="0.3">
      <c r="B75" s="152" t="s">
        <v>779</v>
      </c>
      <c r="C75" s="151" t="s">
        <v>287</v>
      </c>
      <c r="D75" s="258">
        <v>0</v>
      </c>
      <c r="E75" s="258">
        <v>0</v>
      </c>
      <c r="F75" s="258">
        <v>0</v>
      </c>
      <c r="G75" s="258">
        <v>0</v>
      </c>
      <c r="H75" s="258">
        <v>0</v>
      </c>
      <c r="I75" s="258">
        <v>0</v>
      </c>
      <c r="J75" s="258">
        <v>0</v>
      </c>
      <c r="K75" s="258">
        <v>0</v>
      </c>
      <c r="L75" s="258">
        <v>0</v>
      </c>
      <c r="M75" s="258">
        <v>0</v>
      </c>
      <c r="N75" s="258">
        <v>0</v>
      </c>
      <c r="O75" s="258">
        <v>0</v>
      </c>
      <c r="P75" s="258">
        <f t="shared" si="1"/>
        <v>0</v>
      </c>
      <c r="Q75" s="152"/>
      <c r="R75" s="263"/>
    </row>
    <row r="76" spans="2:18" ht="15.75" thickBot="1" x14ac:dyDescent="0.3">
      <c r="B76" s="152" t="str">
        <f>Master!AF14</f>
        <v>BURUNDI</v>
      </c>
      <c r="C76" s="151" t="str">
        <f>Master!AG14</f>
        <v>BY</v>
      </c>
      <c r="D76" s="258">
        <v>0</v>
      </c>
      <c r="E76" s="258">
        <v>0</v>
      </c>
      <c r="F76" s="258">
        <v>0</v>
      </c>
      <c r="G76" s="258">
        <v>0</v>
      </c>
      <c r="H76" s="258">
        <v>0</v>
      </c>
      <c r="I76" s="258">
        <v>0</v>
      </c>
      <c r="J76" s="258">
        <v>0</v>
      </c>
      <c r="K76" s="258">
        <v>0</v>
      </c>
      <c r="L76" s="258">
        <v>0</v>
      </c>
      <c r="M76" s="258">
        <v>0</v>
      </c>
      <c r="N76" s="258">
        <v>0</v>
      </c>
      <c r="O76" s="258">
        <v>0</v>
      </c>
      <c r="P76" s="258">
        <f t="shared" si="1"/>
        <v>0</v>
      </c>
      <c r="Q76" s="152" t="str">
        <f>Master!AF14</f>
        <v>BURUNDI</v>
      </c>
      <c r="R76" s="263"/>
    </row>
    <row r="77" spans="2:18" ht="15.75" thickBot="1" x14ac:dyDescent="0.3">
      <c r="B77" s="152" t="str">
        <f>Master!AF15</f>
        <v>CAMEROUN</v>
      </c>
      <c r="C77" s="151" t="str">
        <f>Master!AG15</f>
        <v>CM</v>
      </c>
      <c r="D77" s="258">
        <v>0</v>
      </c>
      <c r="E77" s="258">
        <v>0</v>
      </c>
      <c r="F77" s="258">
        <v>0</v>
      </c>
      <c r="G77" s="258">
        <v>0</v>
      </c>
      <c r="H77" s="258">
        <v>0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8">
        <v>0</v>
      </c>
      <c r="O77" s="258">
        <v>0</v>
      </c>
      <c r="P77" s="258">
        <f t="shared" si="1"/>
        <v>0</v>
      </c>
      <c r="Q77" s="152" t="str">
        <f>Master!AF15</f>
        <v>CAMEROUN</v>
      </c>
      <c r="R77" s="263"/>
    </row>
    <row r="78" spans="2:18" ht="15.75" thickBot="1" x14ac:dyDescent="0.3">
      <c r="B78" s="152" t="str">
        <f>Master!AF16</f>
        <v>CENTRAL AFR REP</v>
      </c>
      <c r="C78" s="151" t="str">
        <f>Master!AG16</f>
        <v>CT</v>
      </c>
      <c r="D78" s="258">
        <v>0</v>
      </c>
      <c r="E78" s="258">
        <v>0</v>
      </c>
      <c r="F78" s="258">
        <v>0</v>
      </c>
      <c r="G78" s="258">
        <v>0</v>
      </c>
      <c r="H78" s="258">
        <v>0</v>
      </c>
      <c r="I78" s="258">
        <v>0</v>
      </c>
      <c r="J78" s="258">
        <v>0</v>
      </c>
      <c r="K78" s="258">
        <v>0</v>
      </c>
      <c r="L78" s="258">
        <v>0</v>
      </c>
      <c r="M78" s="258">
        <v>0</v>
      </c>
      <c r="N78" s="258">
        <v>0</v>
      </c>
      <c r="O78" s="258">
        <v>0</v>
      </c>
      <c r="P78" s="258">
        <f t="shared" si="1"/>
        <v>0</v>
      </c>
      <c r="Q78" s="152" t="str">
        <f>Master!AF16</f>
        <v>CENTRAL AFR REP</v>
      </c>
      <c r="R78" s="263"/>
    </row>
    <row r="79" spans="2:18" ht="15.75" thickBot="1" x14ac:dyDescent="0.3">
      <c r="B79" s="152" t="str">
        <f>Master!AF17</f>
        <v>CHINA</v>
      </c>
      <c r="C79" s="151" t="str">
        <f>Master!AG17</f>
        <v>CH</v>
      </c>
      <c r="D79" s="258">
        <v>0</v>
      </c>
      <c r="E79" s="258">
        <v>0</v>
      </c>
      <c r="F79" s="258">
        <v>0</v>
      </c>
      <c r="G79" s="258">
        <v>0</v>
      </c>
      <c r="H79" s="258">
        <v>0</v>
      </c>
      <c r="I79" s="258">
        <v>0</v>
      </c>
      <c r="J79" s="258">
        <v>0</v>
      </c>
      <c r="K79" s="258">
        <v>0</v>
      </c>
      <c r="L79" s="258">
        <v>0</v>
      </c>
      <c r="M79" s="258">
        <v>0</v>
      </c>
      <c r="N79" s="258">
        <v>0</v>
      </c>
      <c r="O79" s="258">
        <v>0</v>
      </c>
      <c r="P79" s="258">
        <f t="shared" si="1"/>
        <v>0</v>
      </c>
      <c r="Q79" s="152" t="str">
        <f>Master!AF17</f>
        <v>CHINA</v>
      </c>
      <c r="R79" s="263"/>
    </row>
    <row r="80" spans="2:18" ht="15.75" thickBot="1" x14ac:dyDescent="0.3">
      <c r="B80" s="152" t="str">
        <f>Master!AF18</f>
        <v>DEM REP OF CONGO</v>
      </c>
      <c r="C80" s="151" t="str">
        <f>Master!AG18</f>
        <v>CG</v>
      </c>
      <c r="D80" s="258">
        <v>0</v>
      </c>
      <c r="E80" s="258">
        <v>0</v>
      </c>
      <c r="F80" s="258">
        <v>0</v>
      </c>
      <c r="G80" s="258">
        <v>0</v>
      </c>
      <c r="H80" s="258">
        <v>0</v>
      </c>
      <c r="I80" s="258">
        <v>0</v>
      </c>
      <c r="J80" s="258">
        <v>0</v>
      </c>
      <c r="K80" s="258">
        <v>0</v>
      </c>
      <c r="L80" s="258">
        <v>0</v>
      </c>
      <c r="M80" s="258">
        <v>0</v>
      </c>
      <c r="N80" s="258">
        <v>0</v>
      </c>
      <c r="O80" s="258">
        <v>0</v>
      </c>
      <c r="P80" s="258">
        <f t="shared" si="1"/>
        <v>0</v>
      </c>
      <c r="Q80" s="152" t="str">
        <f>Master!AF18</f>
        <v>DEM REP OF CONGO</v>
      </c>
      <c r="R80" s="263"/>
    </row>
    <row r="81" spans="2:18" ht="15.75" thickBot="1" x14ac:dyDescent="0.3">
      <c r="B81" s="152" t="str">
        <f>Master!AF19</f>
        <v>COLUMBIA</v>
      </c>
      <c r="C81" s="151" t="str">
        <f>Master!AG19</f>
        <v>CO</v>
      </c>
      <c r="D81" s="258">
        <v>0</v>
      </c>
      <c r="E81" s="258">
        <v>0</v>
      </c>
      <c r="F81" s="258">
        <v>0</v>
      </c>
      <c r="G81" s="258">
        <v>0</v>
      </c>
      <c r="H81" s="258">
        <v>0</v>
      </c>
      <c r="I81" s="258">
        <v>0</v>
      </c>
      <c r="J81" s="258">
        <v>0</v>
      </c>
      <c r="K81" s="258">
        <v>0</v>
      </c>
      <c r="L81" s="258">
        <v>0</v>
      </c>
      <c r="M81" s="258">
        <v>0</v>
      </c>
      <c r="N81" s="258">
        <v>0</v>
      </c>
      <c r="O81" s="258">
        <v>0</v>
      </c>
      <c r="P81" s="258">
        <f t="shared" si="1"/>
        <v>0</v>
      </c>
      <c r="Q81" s="152" t="str">
        <f>Master!AF19</f>
        <v>COLUMBIA</v>
      </c>
      <c r="R81" s="263"/>
    </row>
    <row r="82" spans="2:18" ht="15.75" thickBot="1" x14ac:dyDescent="0.3">
      <c r="B82" s="152" t="str">
        <f>Master!AF20</f>
        <v>CONGO</v>
      </c>
      <c r="C82" s="151" t="str">
        <f>Master!AG20</f>
        <v>CF</v>
      </c>
      <c r="D82" s="258">
        <v>0</v>
      </c>
      <c r="E82" s="258">
        <v>0</v>
      </c>
      <c r="F82" s="258">
        <v>0</v>
      </c>
      <c r="G82" s="258">
        <v>0</v>
      </c>
      <c r="H82" s="258">
        <v>0</v>
      </c>
      <c r="I82" s="258">
        <v>0</v>
      </c>
      <c r="J82" s="258">
        <v>0</v>
      </c>
      <c r="K82" s="258">
        <v>0</v>
      </c>
      <c r="L82" s="258">
        <v>0</v>
      </c>
      <c r="M82" s="258">
        <v>0</v>
      </c>
      <c r="N82" s="258">
        <v>0</v>
      </c>
      <c r="O82" s="258">
        <v>0</v>
      </c>
      <c r="P82" s="258">
        <f t="shared" si="1"/>
        <v>0</v>
      </c>
      <c r="Q82" s="152" t="str">
        <f>Master!AF20</f>
        <v>CONGO</v>
      </c>
      <c r="R82" s="263"/>
    </row>
    <row r="83" spans="2:18" ht="15.75" thickBot="1" x14ac:dyDescent="0.3">
      <c r="B83" s="152" t="str">
        <f>Master!AF21</f>
        <v>CUBA</v>
      </c>
      <c r="C83" s="151" t="str">
        <f>Master!AG21</f>
        <v>CU</v>
      </c>
      <c r="D83" s="258">
        <v>2</v>
      </c>
      <c r="E83" s="258">
        <v>0</v>
      </c>
      <c r="F83" s="258">
        <v>0</v>
      </c>
      <c r="G83" s="258">
        <v>0</v>
      </c>
      <c r="H83" s="258">
        <v>0</v>
      </c>
      <c r="I83" s="258">
        <v>0</v>
      </c>
      <c r="J83" s="258">
        <v>0</v>
      </c>
      <c r="K83" s="258">
        <v>0</v>
      </c>
      <c r="L83" s="258">
        <v>0</v>
      </c>
      <c r="M83" s="258">
        <v>0</v>
      </c>
      <c r="N83" s="258">
        <v>0</v>
      </c>
      <c r="O83" s="258">
        <v>0</v>
      </c>
      <c r="P83" s="258">
        <f t="shared" si="1"/>
        <v>2</v>
      </c>
      <c r="Q83" s="152" t="str">
        <f>Master!AF21</f>
        <v>CUBA</v>
      </c>
      <c r="R83" s="263"/>
    </row>
    <row r="84" spans="2:18" ht="15.75" thickBot="1" x14ac:dyDescent="0.3">
      <c r="B84" s="152" t="str">
        <f>Master!AF22</f>
        <v>CUBAN ENTRANT</v>
      </c>
      <c r="C84" s="151" t="str">
        <f>Master!AG22</f>
        <v>CUE</v>
      </c>
      <c r="D84" s="258">
        <v>0</v>
      </c>
      <c r="E84" s="258">
        <v>0</v>
      </c>
      <c r="F84" s="258">
        <v>0</v>
      </c>
      <c r="G84" s="258">
        <v>0</v>
      </c>
      <c r="H84" s="258">
        <v>0</v>
      </c>
      <c r="I84" s="258">
        <v>0</v>
      </c>
      <c r="J84" s="258">
        <v>0</v>
      </c>
      <c r="K84" s="258">
        <v>0</v>
      </c>
      <c r="L84" s="258">
        <v>0</v>
      </c>
      <c r="M84" s="258">
        <v>0</v>
      </c>
      <c r="N84" s="258">
        <v>0</v>
      </c>
      <c r="O84" s="258">
        <v>0</v>
      </c>
      <c r="P84" s="258">
        <f t="shared" si="1"/>
        <v>0</v>
      </c>
      <c r="Q84" s="152" t="str">
        <f>Master!AF22</f>
        <v>CUBAN ENTRANT</v>
      </c>
      <c r="R84" s="263"/>
    </row>
    <row r="85" spans="2:18" ht="15.75" thickBot="1" x14ac:dyDescent="0.3">
      <c r="B85" s="152" t="str">
        <f>Master!AF23</f>
        <v>ECUADOR</v>
      </c>
      <c r="C85" s="151" t="str">
        <f>Master!AG23</f>
        <v>EC</v>
      </c>
      <c r="D85" s="258">
        <v>0</v>
      </c>
      <c r="E85" s="258">
        <v>0</v>
      </c>
      <c r="F85" s="258">
        <v>0</v>
      </c>
      <c r="G85" s="258">
        <v>0</v>
      </c>
      <c r="H85" s="258">
        <v>0</v>
      </c>
      <c r="I85" s="258">
        <v>0</v>
      </c>
      <c r="J85" s="258">
        <v>0</v>
      </c>
      <c r="K85" s="258">
        <v>0</v>
      </c>
      <c r="L85" s="258">
        <v>0</v>
      </c>
      <c r="M85" s="258">
        <v>0</v>
      </c>
      <c r="N85" s="258">
        <v>0</v>
      </c>
      <c r="O85" s="258">
        <v>0</v>
      </c>
      <c r="P85" s="258">
        <f t="shared" si="1"/>
        <v>0</v>
      </c>
      <c r="Q85" s="152" t="str">
        <f>Master!AF23</f>
        <v>ECUADOR</v>
      </c>
      <c r="R85" s="263"/>
    </row>
    <row r="86" spans="2:18" ht="15.75" thickBot="1" x14ac:dyDescent="0.3">
      <c r="B86" s="152" t="str">
        <f>Master!AF24</f>
        <v>EGYPT</v>
      </c>
      <c r="C86" s="151" t="str">
        <f>Master!AG24</f>
        <v>EG</v>
      </c>
      <c r="D86" s="258">
        <v>0</v>
      </c>
      <c r="E86" s="258">
        <v>0</v>
      </c>
      <c r="F86" s="258">
        <v>0</v>
      </c>
      <c r="G86" s="258">
        <v>0</v>
      </c>
      <c r="H86" s="258">
        <v>0</v>
      </c>
      <c r="I86" s="258">
        <v>0</v>
      </c>
      <c r="J86" s="258">
        <v>0</v>
      </c>
      <c r="K86" s="258">
        <v>0</v>
      </c>
      <c r="L86" s="258">
        <v>0</v>
      </c>
      <c r="M86" s="258">
        <v>0</v>
      </c>
      <c r="N86" s="258">
        <v>0</v>
      </c>
      <c r="O86" s="258">
        <v>0</v>
      </c>
      <c r="P86" s="258">
        <f t="shared" si="1"/>
        <v>0</v>
      </c>
      <c r="Q86" s="152" t="str">
        <f>Master!AF24</f>
        <v>EGYPT</v>
      </c>
      <c r="R86" s="263"/>
    </row>
    <row r="87" spans="2:18" ht="15.75" thickBot="1" x14ac:dyDescent="0.3">
      <c r="B87" s="152" t="str">
        <f>Master!AF25</f>
        <v>ERITREA</v>
      </c>
      <c r="C87" s="151" t="str">
        <f>Master!AG25</f>
        <v>ER</v>
      </c>
      <c r="D87" s="258">
        <v>0</v>
      </c>
      <c r="E87" s="258">
        <v>0</v>
      </c>
      <c r="F87" s="258">
        <v>0</v>
      </c>
      <c r="G87" s="258">
        <v>0</v>
      </c>
      <c r="H87" s="258">
        <v>0</v>
      </c>
      <c r="I87" s="258">
        <v>0</v>
      </c>
      <c r="J87" s="258">
        <v>0</v>
      </c>
      <c r="K87" s="258">
        <v>0</v>
      </c>
      <c r="L87" s="258">
        <v>0</v>
      </c>
      <c r="M87" s="258">
        <v>0</v>
      </c>
      <c r="N87" s="258">
        <v>0</v>
      </c>
      <c r="O87" s="258">
        <v>0</v>
      </c>
      <c r="P87" s="258">
        <f t="shared" si="1"/>
        <v>0</v>
      </c>
      <c r="Q87" s="152" t="str">
        <f>Master!AF25</f>
        <v>ERITREA</v>
      </c>
      <c r="R87" s="263"/>
    </row>
    <row r="88" spans="2:18" ht="15.75" thickBot="1" x14ac:dyDescent="0.3">
      <c r="B88" s="152" t="str">
        <f>Master!AF26</f>
        <v>ETHIOPIA</v>
      </c>
      <c r="C88" s="151" t="str">
        <f>Master!AG26</f>
        <v>ET</v>
      </c>
      <c r="D88" s="258">
        <v>0</v>
      </c>
      <c r="E88" s="258">
        <v>0</v>
      </c>
      <c r="F88" s="258">
        <v>0</v>
      </c>
      <c r="G88" s="258">
        <v>0</v>
      </c>
      <c r="H88" s="258">
        <v>0</v>
      </c>
      <c r="I88" s="258">
        <v>0</v>
      </c>
      <c r="J88" s="258">
        <v>0</v>
      </c>
      <c r="K88" s="258">
        <v>0</v>
      </c>
      <c r="L88" s="258">
        <v>0</v>
      </c>
      <c r="M88" s="258">
        <v>0</v>
      </c>
      <c r="N88" s="258">
        <v>0</v>
      </c>
      <c r="O88" s="258">
        <v>0</v>
      </c>
      <c r="P88" s="258">
        <f t="shared" si="1"/>
        <v>0</v>
      </c>
      <c r="Q88" s="152" t="str">
        <f>Master!AF26</f>
        <v>ETHIOPIA</v>
      </c>
      <c r="R88" s="263"/>
    </row>
    <row r="89" spans="2:18" ht="15.75" thickBot="1" x14ac:dyDescent="0.3">
      <c r="B89" s="152" t="str">
        <f>Master!AF27</f>
        <v>FRANCE</v>
      </c>
      <c r="C89" s="151" t="str">
        <f>Master!AG27</f>
        <v>FR</v>
      </c>
      <c r="D89" s="258">
        <v>0</v>
      </c>
      <c r="E89" s="258">
        <v>0</v>
      </c>
      <c r="F89" s="258">
        <v>0</v>
      </c>
      <c r="G89" s="258">
        <v>0</v>
      </c>
      <c r="H89" s="258">
        <v>0</v>
      </c>
      <c r="I89" s="258">
        <v>0</v>
      </c>
      <c r="J89" s="258">
        <v>0</v>
      </c>
      <c r="K89" s="258">
        <v>0</v>
      </c>
      <c r="L89" s="258">
        <v>0</v>
      </c>
      <c r="M89" s="258">
        <v>0</v>
      </c>
      <c r="N89" s="258">
        <v>0</v>
      </c>
      <c r="O89" s="258">
        <v>0</v>
      </c>
      <c r="P89" s="258">
        <f t="shared" si="1"/>
        <v>0</v>
      </c>
      <c r="Q89" s="152" t="str">
        <f>Master!AF27</f>
        <v>FRANCE</v>
      </c>
      <c r="R89" s="263"/>
    </row>
    <row r="90" spans="2:18" ht="15.75" thickBot="1" x14ac:dyDescent="0.3">
      <c r="B90" s="152" t="str">
        <f>Master!AF28</f>
        <v>GUINEA</v>
      </c>
      <c r="C90" s="151" t="str">
        <f>Master!AG28</f>
        <v>GV</v>
      </c>
      <c r="D90" s="258">
        <v>0</v>
      </c>
      <c r="E90" s="258">
        <v>0</v>
      </c>
      <c r="F90" s="258">
        <v>0</v>
      </c>
      <c r="G90" s="258">
        <v>0</v>
      </c>
      <c r="H90" s="258">
        <v>0</v>
      </c>
      <c r="I90" s="258">
        <v>0</v>
      </c>
      <c r="J90" s="258">
        <v>0</v>
      </c>
      <c r="K90" s="258">
        <v>0</v>
      </c>
      <c r="L90" s="258">
        <v>0</v>
      </c>
      <c r="M90" s="258">
        <v>0</v>
      </c>
      <c r="N90" s="258">
        <v>0</v>
      </c>
      <c r="O90" s="258">
        <v>0</v>
      </c>
      <c r="P90" s="258">
        <f t="shared" si="1"/>
        <v>0</v>
      </c>
      <c r="Q90" s="152" t="str">
        <f>Master!AF28</f>
        <v>GUINEA</v>
      </c>
      <c r="R90" s="263"/>
    </row>
    <row r="91" spans="2:18" ht="15.75" thickBot="1" x14ac:dyDescent="0.3">
      <c r="B91" s="152" t="str">
        <f>Master!AF29</f>
        <v>HAITI</v>
      </c>
      <c r="C91" s="151" t="str">
        <f>Master!AG29</f>
        <v>HA</v>
      </c>
      <c r="D91" s="258">
        <v>0</v>
      </c>
      <c r="E91" s="258">
        <v>0</v>
      </c>
      <c r="F91" s="258">
        <v>0</v>
      </c>
      <c r="G91" s="258">
        <v>0</v>
      </c>
      <c r="H91" s="258">
        <v>0</v>
      </c>
      <c r="I91" s="258">
        <v>0</v>
      </c>
      <c r="J91" s="258">
        <v>0</v>
      </c>
      <c r="K91" s="258">
        <v>0</v>
      </c>
      <c r="L91" s="258">
        <v>0</v>
      </c>
      <c r="M91" s="258">
        <v>0</v>
      </c>
      <c r="N91" s="258">
        <v>0</v>
      </c>
      <c r="O91" s="258">
        <v>0</v>
      </c>
      <c r="P91" s="258">
        <f t="shared" si="1"/>
        <v>0</v>
      </c>
      <c r="Q91" s="152" t="str">
        <f>Master!AF29</f>
        <v>HAITI</v>
      </c>
      <c r="R91" s="263"/>
    </row>
    <row r="92" spans="2:18" ht="15.75" thickBot="1" x14ac:dyDescent="0.3">
      <c r="B92" s="152" t="str">
        <f>Master!AF30</f>
        <v>INDIA</v>
      </c>
      <c r="C92" s="151" t="str">
        <f>Master!AG30</f>
        <v>IN</v>
      </c>
      <c r="D92" s="258">
        <v>0</v>
      </c>
      <c r="E92" s="258">
        <v>0</v>
      </c>
      <c r="F92" s="258">
        <v>0</v>
      </c>
      <c r="G92" s="258">
        <v>0</v>
      </c>
      <c r="H92" s="258">
        <v>0</v>
      </c>
      <c r="I92" s="258">
        <v>0</v>
      </c>
      <c r="J92" s="258">
        <v>0</v>
      </c>
      <c r="K92" s="258">
        <v>0</v>
      </c>
      <c r="L92" s="258">
        <v>0</v>
      </c>
      <c r="M92" s="258">
        <v>0</v>
      </c>
      <c r="N92" s="258">
        <v>0</v>
      </c>
      <c r="O92" s="258">
        <v>0</v>
      </c>
      <c r="P92" s="258">
        <f t="shared" si="1"/>
        <v>0</v>
      </c>
      <c r="Q92" s="152" t="str">
        <f>Master!AF30</f>
        <v>INDIA</v>
      </c>
      <c r="R92" s="263"/>
    </row>
    <row r="93" spans="2:18" ht="15.75" thickBot="1" x14ac:dyDescent="0.3">
      <c r="B93" s="152" t="str">
        <f>Master!AF31</f>
        <v>INDONESIA</v>
      </c>
      <c r="C93" s="151" t="str">
        <f>Master!AG31</f>
        <v>ID</v>
      </c>
      <c r="D93" s="258">
        <v>0</v>
      </c>
      <c r="E93" s="258">
        <v>0</v>
      </c>
      <c r="F93" s="258">
        <v>0</v>
      </c>
      <c r="G93" s="258">
        <v>0</v>
      </c>
      <c r="H93" s="258">
        <v>0</v>
      </c>
      <c r="I93" s="258">
        <v>0</v>
      </c>
      <c r="J93" s="258">
        <v>0</v>
      </c>
      <c r="K93" s="258">
        <v>0</v>
      </c>
      <c r="L93" s="258">
        <v>0</v>
      </c>
      <c r="M93" s="258">
        <v>0</v>
      </c>
      <c r="N93" s="258">
        <v>0</v>
      </c>
      <c r="O93" s="258">
        <v>0</v>
      </c>
      <c r="P93" s="258">
        <f t="shared" si="1"/>
        <v>0</v>
      </c>
      <c r="Q93" s="152" t="str">
        <f>Master!AF31</f>
        <v>INDONESIA</v>
      </c>
      <c r="R93" s="263"/>
    </row>
    <row r="94" spans="2:18" ht="15.75" thickBot="1" x14ac:dyDescent="0.3">
      <c r="B94" s="152" t="str">
        <f>Master!AF32</f>
        <v>IRAN</v>
      </c>
      <c r="C94" s="151" t="str">
        <f>Master!AG32</f>
        <v>IR</v>
      </c>
      <c r="D94" s="258">
        <v>0</v>
      </c>
      <c r="E94" s="258">
        <v>0</v>
      </c>
      <c r="F94" s="258">
        <v>0</v>
      </c>
      <c r="G94" s="258">
        <v>0</v>
      </c>
      <c r="H94" s="258">
        <v>0</v>
      </c>
      <c r="I94" s="258">
        <v>0</v>
      </c>
      <c r="J94" s="258">
        <v>0</v>
      </c>
      <c r="K94" s="258">
        <v>0</v>
      </c>
      <c r="L94" s="258">
        <v>0</v>
      </c>
      <c r="M94" s="258">
        <v>0</v>
      </c>
      <c r="N94" s="258">
        <v>0</v>
      </c>
      <c r="O94" s="258">
        <v>0</v>
      </c>
      <c r="P94" s="258">
        <f t="shared" si="1"/>
        <v>0</v>
      </c>
      <c r="Q94" s="152" t="str">
        <f>Master!AF32</f>
        <v>IRAN</v>
      </c>
      <c r="R94" s="263"/>
    </row>
    <row r="95" spans="2:18" ht="15.75" thickBot="1" x14ac:dyDescent="0.3">
      <c r="B95" s="152" t="str">
        <f>Master!AF33</f>
        <v>IRAQ</v>
      </c>
      <c r="C95" s="151" t="str">
        <f>Master!AG33</f>
        <v>IZ</v>
      </c>
      <c r="D95" s="258">
        <v>0</v>
      </c>
      <c r="E95" s="258">
        <v>0</v>
      </c>
      <c r="F95" s="258">
        <v>0</v>
      </c>
      <c r="G95" s="258">
        <v>0</v>
      </c>
      <c r="H95" s="258">
        <v>0</v>
      </c>
      <c r="I95" s="258">
        <v>0</v>
      </c>
      <c r="J95" s="258">
        <v>0</v>
      </c>
      <c r="K95" s="258">
        <v>0</v>
      </c>
      <c r="L95" s="258">
        <v>0</v>
      </c>
      <c r="M95" s="258">
        <v>0</v>
      </c>
      <c r="N95" s="258">
        <v>0</v>
      </c>
      <c r="O95" s="258">
        <v>0</v>
      </c>
      <c r="P95" s="258">
        <f t="shared" si="1"/>
        <v>0</v>
      </c>
      <c r="Q95" s="152" t="str">
        <f>Master!AF33</f>
        <v>IRAQ</v>
      </c>
      <c r="R95" s="263"/>
    </row>
    <row r="96" spans="2:18" ht="15.75" thickBot="1" x14ac:dyDescent="0.3">
      <c r="B96" s="152" t="str">
        <f>Master!AF34</f>
        <v>IVORY COAST</v>
      </c>
      <c r="C96" s="151" t="str">
        <f>Master!AG34</f>
        <v>IV</v>
      </c>
      <c r="D96" s="258">
        <v>0</v>
      </c>
      <c r="E96" s="258">
        <v>0</v>
      </c>
      <c r="F96" s="258">
        <v>0</v>
      </c>
      <c r="G96" s="258">
        <v>0</v>
      </c>
      <c r="H96" s="258">
        <v>0</v>
      </c>
      <c r="I96" s="258">
        <v>0</v>
      </c>
      <c r="J96" s="258">
        <v>0</v>
      </c>
      <c r="K96" s="258">
        <v>0</v>
      </c>
      <c r="L96" s="258">
        <v>0</v>
      </c>
      <c r="M96" s="258">
        <v>0</v>
      </c>
      <c r="N96" s="258">
        <v>0</v>
      </c>
      <c r="O96" s="258">
        <v>0</v>
      </c>
      <c r="P96" s="258">
        <f t="shared" si="1"/>
        <v>0</v>
      </c>
      <c r="Q96" s="152" t="str">
        <f>Master!AF34</f>
        <v>IVORY COAST</v>
      </c>
      <c r="R96" s="263"/>
    </row>
    <row r="97" spans="2:18" ht="15.75" thickBot="1" x14ac:dyDescent="0.3">
      <c r="B97" s="152" t="str">
        <f>Master!AF35</f>
        <v>JORDAN</v>
      </c>
      <c r="C97" s="151" t="str">
        <f>Master!AG35</f>
        <v>JO</v>
      </c>
      <c r="D97" s="258">
        <v>0</v>
      </c>
      <c r="E97" s="258">
        <v>0</v>
      </c>
      <c r="F97" s="258">
        <v>0</v>
      </c>
      <c r="G97" s="258">
        <v>0</v>
      </c>
      <c r="H97" s="258">
        <v>0</v>
      </c>
      <c r="I97" s="258">
        <v>0</v>
      </c>
      <c r="J97" s="258">
        <v>0</v>
      </c>
      <c r="K97" s="258">
        <v>0</v>
      </c>
      <c r="L97" s="258">
        <v>0</v>
      </c>
      <c r="M97" s="258">
        <v>0</v>
      </c>
      <c r="N97" s="258">
        <v>0</v>
      </c>
      <c r="O97" s="258">
        <v>0</v>
      </c>
      <c r="P97" s="258">
        <f t="shared" si="1"/>
        <v>0</v>
      </c>
      <c r="Q97" s="152" t="str">
        <f>Master!AF35</f>
        <v>JORDAN</v>
      </c>
      <c r="R97" s="263"/>
    </row>
    <row r="98" spans="2:18" ht="15.75" thickBot="1" x14ac:dyDescent="0.3">
      <c r="B98" s="152" t="str">
        <f>Master!AF36</f>
        <v>KAZAKHSTAN</v>
      </c>
      <c r="C98" s="151" t="str">
        <f>Master!AG36</f>
        <v>KZ</v>
      </c>
      <c r="D98" s="258">
        <v>0</v>
      </c>
      <c r="E98" s="258">
        <v>0</v>
      </c>
      <c r="F98" s="258">
        <v>0</v>
      </c>
      <c r="G98" s="258">
        <v>0</v>
      </c>
      <c r="H98" s="258">
        <v>0</v>
      </c>
      <c r="I98" s="258">
        <v>0</v>
      </c>
      <c r="J98" s="258">
        <v>0</v>
      </c>
      <c r="K98" s="258">
        <v>0</v>
      </c>
      <c r="L98" s="258">
        <v>0</v>
      </c>
      <c r="M98" s="258">
        <v>0</v>
      </c>
      <c r="N98" s="258">
        <v>0</v>
      </c>
      <c r="O98" s="258">
        <v>0</v>
      </c>
      <c r="P98" s="258">
        <f t="shared" si="1"/>
        <v>0</v>
      </c>
      <c r="Q98" s="152" t="str">
        <f>Master!AF36</f>
        <v>KAZAKHSTAN</v>
      </c>
      <c r="R98" s="263"/>
    </row>
    <row r="99" spans="2:18" ht="15.75" thickBot="1" x14ac:dyDescent="0.3">
      <c r="B99" s="152" t="str">
        <f>Master!AF37</f>
        <v>KENYA</v>
      </c>
      <c r="C99" s="151" t="str">
        <f>Master!AG37</f>
        <v>KE</v>
      </c>
      <c r="D99" s="258">
        <v>0</v>
      </c>
      <c r="E99" s="258">
        <v>0</v>
      </c>
      <c r="F99" s="258">
        <v>0</v>
      </c>
      <c r="G99" s="258">
        <v>0</v>
      </c>
      <c r="H99" s="258">
        <v>0</v>
      </c>
      <c r="I99" s="258">
        <v>0</v>
      </c>
      <c r="J99" s="258">
        <v>0</v>
      </c>
      <c r="K99" s="258">
        <v>0</v>
      </c>
      <c r="L99" s="258">
        <v>0</v>
      </c>
      <c r="M99" s="258">
        <v>0</v>
      </c>
      <c r="N99" s="258">
        <v>0</v>
      </c>
      <c r="O99" s="258">
        <v>0</v>
      </c>
      <c r="P99" s="258">
        <f t="shared" si="1"/>
        <v>0</v>
      </c>
      <c r="Q99" s="152" t="str">
        <f>Master!AF37</f>
        <v>KENYA</v>
      </c>
      <c r="R99" s="263"/>
    </row>
    <row r="100" spans="2:18" ht="15.75" thickBot="1" x14ac:dyDescent="0.3">
      <c r="B100" s="152" t="str">
        <f>Master!AF38</f>
        <v>LEBANON</v>
      </c>
      <c r="C100" s="151" t="str">
        <f>Master!AG38</f>
        <v>LE</v>
      </c>
      <c r="D100" s="258">
        <v>0</v>
      </c>
      <c r="E100" s="258">
        <v>0</v>
      </c>
      <c r="F100" s="258">
        <v>0</v>
      </c>
      <c r="G100" s="258">
        <v>0</v>
      </c>
      <c r="H100" s="258">
        <v>0</v>
      </c>
      <c r="I100" s="258">
        <v>0</v>
      </c>
      <c r="J100" s="258">
        <v>0</v>
      </c>
      <c r="K100" s="258">
        <v>0</v>
      </c>
      <c r="L100" s="258">
        <v>0</v>
      </c>
      <c r="M100" s="258">
        <v>0</v>
      </c>
      <c r="N100" s="258">
        <v>0</v>
      </c>
      <c r="O100" s="258">
        <v>0</v>
      </c>
      <c r="P100" s="258">
        <f t="shared" si="1"/>
        <v>0</v>
      </c>
      <c r="Q100" s="152" t="str">
        <f>Master!AF38</f>
        <v>LEBANON</v>
      </c>
      <c r="R100" s="263"/>
    </row>
    <row r="101" spans="2:18" ht="15.75" thickBot="1" x14ac:dyDescent="0.3">
      <c r="B101" s="152" t="str">
        <f>Master!AF39</f>
        <v>LIBERIA</v>
      </c>
      <c r="C101" s="151" t="str">
        <f>Master!AG39</f>
        <v>LI</v>
      </c>
      <c r="D101" s="258">
        <v>0</v>
      </c>
      <c r="E101" s="258">
        <v>0</v>
      </c>
      <c r="F101" s="258">
        <v>0</v>
      </c>
      <c r="G101" s="258">
        <v>0</v>
      </c>
      <c r="H101" s="258">
        <v>0</v>
      </c>
      <c r="I101" s="258">
        <v>0</v>
      </c>
      <c r="J101" s="258">
        <v>0</v>
      </c>
      <c r="K101" s="258">
        <v>0</v>
      </c>
      <c r="L101" s="258">
        <v>0</v>
      </c>
      <c r="M101" s="258">
        <v>0</v>
      </c>
      <c r="N101" s="258">
        <v>0</v>
      </c>
      <c r="O101" s="258">
        <v>0</v>
      </c>
      <c r="P101" s="258">
        <f t="shared" si="1"/>
        <v>0</v>
      </c>
      <c r="Q101" s="152" t="str">
        <f>Master!AF39</f>
        <v>LIBERIA</v>
      </c>
      <c r="R101" s="263"/>
    </row>
    <row r="102" spans="2:18" ht="15.75" thickBot="1" x14ac:dyDescent="0.3">
      <c r="B102" s="152" t="str">
        <f>Master!AF40</f>
        <v>LIBYA</v>
      </c>
      <c r="C102" s="151" t="str">
        <f>Master!AG40</f>
        <v>LY</v>
      </c>
      <c r="D102" s="258">
        <v>0</v>
      </c>
      <c r="E102" s="258">
        <v>0</v>
      </c>
      <c r="F102" s="258">
        <v>0</v>
      </c>
      <c r="G102" s="258">
        <v>0</v>
      </c>
      <c r="H102" s="258">
        <v>0</v>
      </c>
      <c r="I102" s="258">
        <v>0</v>
      </c>
      <c r="J102" s="258">
        <v>0</v>
      </c>
      <c r="K102" s="258">
        <v>0</v>
      </c>
      <c r="L102" s="258">
        <v>0</v>
      </c>
      <c r="M102" s="258">
        <v>0</v>
      </c>
      <c r="N102" s="258">
        <v>0</v>
      </c>
      <c r="O102" s="258">
        <v>0</v>
      </c>
      <c r="P102" s="258">
        <f t="shared" si="1"/>
        <v>0</v>
      </c>
      <c r="Q102" s="152" t="str">
        <f>Master!AF40</f>
        <v>LIBYA</v>
      </c>
      <c r="R102" s="263"/>
    </row>
    <row r="103" spans="2:18" ht="15.75" thickBot="1" x14ac:dyDescent="0.3">
      <c r="B103" s="152" t="str">
        <f>Master!AF41</f>
        <v>MOLDOVA</v>
      </c>
      <c r="C103" s="151" t="str">
        <f>Master!AG41</f>
        <v>MD</v>
      </c>
      <c r="D103" s="258">
        <v>0</v>
      </c>
      <c r="E103" s="258">
        <v>0</v>
      </c>
      <c r="F103" s="258">
        <v>0</v>
      </c>
      <c r="G103" s="258">
        <v>0</v>
      </c>
      <c r="H103" s="258">
        <v>0</v>
      </c>
      <c r="I103" s="258">
        <v>0</v>
      </c>
      <c r="J103" s="258">
        <v>0</v>
      </c>
      <c r="K103" s="258">
        <v>0</v>
      </c>
      <c r="L103" s="258">
        <v>0</v>
      </c>
      <c r="M103" s="258">
        <v>0</v>
      </c>
      <c r="N103" s="258">
        <v>0</v>
      </c>
      <c r="O103" s="258">
        <v>0</v>
      </c>
      <c r="P103" s="258">
        <f t="shared" si="1"/>
        <v>0</v>
      </c>
      <c r="Q103" s="152" t="str">
        <f>Master!AF41</f>
        <v>MOLDOVA</v>
      </c>
      <c r="R103" s="263"/>
    </row>
    <row r="104" spans="2:18" ht="15.75" thickBot="1" x14ac:dyDescent="0.3">
      <c r="B104" s="152" t="str">
        <f>Master!AF42</f>
        <v>MALI</v>
      </c>
      <c r="C104" s="151" t="str">
        <f>Master!AG42</f>
        <v>ML</v>
      </c>
      <c r="D104" s="258">
        <v>0</v>
      </c>
      <c r="E104" s="258">
        <v>0</v>
      </c>
      <c r="F104" s="258">
        <v>0</v>
      </c>
      <c r="G104" s="258">
        <v>0</v>
      </c>
      <c r="H104" s="258">
        <v>0</v>
      </c>
      <c r="I104" s="258">
        <v>0</v>
      </c>
      <c r="J104" s="258">
        <v>0</v>
      </c>
      <c r="K104" s="258">
        <v>0</v>
      </c>
      <c r="L104" s="258">
        <v>0</v>
      </c>
      <c r="M104" s="258">
        <v>0</v>
      </c>
      <c r="N104" s="258">
        <v>0</v>
      </c>
      <c r="O104" s="258">
        <v>0</v>
      </c>
      <c r="P104" s="258">
        <f t="shared" si="1"/>
        <v>0</v>
      </c>
      <c r="Q104" s="152" t="str">
        <f>Master!AF42</f>
        <v>MALI</v>
      </c>
      <c r="R104" s="263"/>
    </row>
    <row r="105" spans="2:18" ht="15.75" thickBot="1" x14ac:dyDescent="0.3">
      <c r="B105" s="152" t="str">
        <f>Master!AF43</f>
        <v>MALAYSIA</v>
      </c>
      <c r="C105" s="151" t="str">
        <f>Master!AG43</f>
        <v>MY</v>
      </c>
      <c r="D105" s="258">
        <v>0</v>
      </c>
      <c r="E105" s="258">
        <v>0</v>
      </c>
      <c r="F105" s="258">
        <v>0</v>
      </c>
      <c r="G105" s="258">
        <v>0</v>
      </c>
      <c r="H105" s="258">
        <v>0</v>
      </c>
      <c r="I105" s="258">
        <v>0</v>
      </c>
      <c r="J105" s="258">
        <v>0</v>
      </c>
      <c r="K105" s="258">
        <v>0</v>
      </c>
      <c r="L105" s="258">
        <v>0</v>
      </c>
      <c r="M105" s="258">
        <v>0</v>
      </c>
      <c r="N105" s="258">
        <v>0</v>
      </c>
      <c r="O105" s="258">
        <v>0</v>
      </c>
      <c r="P105" s="258">
        <f t="shared" si="1"/>
        <v>0</v>
      </c>
      <c r="Q105" s="152" t="str">
        <f>Master!AF43</f>
        <v>MALAYSIA</v>
      </c>
      <c r="R105" s="263"/>
    </row>
    <row r="106" spans="2:18" ht="15.75" thickBot="1" x14ac:dyDescent="0.3">
      <c r="B106" s="152" t="str">
        <f>Master!AF44</f>
        <v>NAMIBIA</v>
      </c>
      <c r="C106" s="151" t="str">
        <f>Master!AG44</f>
        <v>WA</v>
      </c>
      <c r="D106" s="258">
        <v>0</v>
      </c>
      <c r="E106" s="258">
        <v>0</v>
      </c>
      <c r="F106" s="258">
        <v>0</v>
      </c>
      <c r="G106" s="258">
        <v>0</v>
      </c>
      <c r="H106" s="258">
        <v>0</v>
      </c>
      <c r="I106" s="258">
        <v>0</v>
      </c>
      <c r="J106" s="258">
        <v>0</v>
      </c>
      <c r="K106" s="258">
        <v>0</v>
      </c>
      <c r="L106" s="258">
        <v>0</v>
      </c>
      <c r="M106" s="258">
        <v>0</v>
      </c>
      <c r="N106" s="258">
        <v>0</v>
      </c>
      <c r="O106" s="258">
        <v>0</v>
      </c>
      <c r="P106" s="258">
        <f t="shared" si="1"/>
        <v>0</v>
      </c>
      <c r="Q106" s="152" t="str">
        <f>Master!AF44</f>
        <v>NAMIBIA</v>
      </c>
      <c r="R106" s="263"/>
    </row>
    <row r="107" spans="2:18" ht="15.75" thickBot="1" x14ac:dyDescent="0.3">
      <c r="B107" s="152" t="str">
        <f>Master!AF45</f>
        <v>NEPAL</v>
      </c>
      <c r="C107" s="151" t="str">
        <f>Master!AG45</f>
        <v>NP</v>
      </c>
      <c r="D107" s="258">
        <v>0</v>
      </c>
      <c r="E107" s="258">
        <v>0</v>
      </c>
      <c r="F107" s="258">
        <v>0</v>
      </c>
      <c r="G107" s="258">
        <v>0</v>
      </c>
      <c r="H107" s="258">
        <v>0</v>
      </c>
      <c r="I107" s="258">
        <v>0</v>
      </c>
      <c r="J107" s="258">
        <v>0</v>
      </c>
      <c r="K107" s="258">
        <v>0</v>
      </c>
      <c r="L107" s="258">
        <v>0</v>
      </c>
      <c r="M107" s="258">
        <v>0</v>
      </c>
      <c r="N107" s="258">
        <v>0</v>
      </c>
      <c r="O107" s="258">
        <v>0</v>
      </c>
      <c r="P107" s="258">
        <f t="shared" si="1"/>
        <v>0</v>
      </c>
      <c r="Q107" s="152" t="str">
        <f>Master!AF45</f>
        <v>NEPAL</v>
      </c>
      <c r="R107" s="263"/>
    </row>
    <row r="108" spans="2:18" ht="15.75" thickBot="1" x14ac:dyDescent="0.3">
      <c r="B108" s="152" t="str">
        <f>Master!AF46</f>
        <v>NIGERIA</v>
      </c>
      <c r="C108" s="151" t="str">
        <f>Master!AG46</f>
        <v>NI</v>
      </c>
      <c r="D108" s="258">
        <v>0</v>
      </c>
      <c r="E108" s="258">
        <v>0</v>
      </c>
      <c r="F108" s="258">
        <v>0</v>
      </c>
      <c r="G108" s="258">
        <v>0</v>
      </c>
      <c r="H108" s="258">
        <v>0</v>
      </c>
      <c r="I108" s="258">
        <v>0</v>
      </c>
      <c r="J108" s="258">
        <v>0</v>
      </c>
      <c r="K108" s="258">
        <v>0</v>
      </c>
      <c r="L108" s="258">
        <v>0</v>
      </c>
      <c r="M108" s="258">
        <v>0</v>
      </c>
      <c r="N108" s="258">
        <v>0</v>
      </c>
      <c r="O108" s="258">
        <v>0</v>
      </c>
      <c r="P108" s="258">
        <f t="shared" si="1"/>
        <v>0</v>
      </c>
      <c r="Q108" s="152" t="str">
        <f>Master!AF46</f>
        <v>NIGERIA</v>
      </c>
      <c r="R108" s="263"/>
    </row>
    <row r="109" spans="2:18" ht="15.75" thickBot="1" x14ac:dyDescent="0.3">
      <c r="B109" s="152" t="str">
        <f>Master!AF47</f>
        <v>PAKISTAN</v>
      </c>
      <c r="C109" s="151" t="str">
        <f>Master!AG47</f>
        <v>PK</v>
      </c>
      <c r="D109" s="258">
        <v>0</v>
      </c>
      <c r="E109" s="258">
        <v>0</v>
      </c>
      <c r="F109" s="258">
        <v>0</v>
      </c>
      <c r="G109" s="258">
        <v>0</v>
      </c>
      <c r="H109" s="258">
        <v>0</v>
      </c>
      <c r="I109" s="258">
        <v>0</v>
      </c>
      <c r="J109" s="258">
        <v>0</v>
      </c>
      <c r="K109" s="258">
        <v>0</v>
      </c>
      <c r="L109" s="258">
        <v>0</v>
      </c>
      <c r="M109" s="258">
        <v>0</v>
      </c>
      <c r="N109" s="258">
        <v>0</v>
      </c>
      <c r="O109" s="258">
        <v>0</v>
      </c>
      <c r="P109" s="258">
        <f t="shared" si="1"/>
        <v>0</v>
      </c>
      <c r="Q109" s="152" t="str">
        <f>Master!AF47</f>
        <v>PAKISTAN</v>
      </c>
      <c r="R109" s="263"/>
    </row>
    <row r="110" spans="2:18" ht="15.75" thickBot="1" x14ac:dyDescent="0.3">
      <c r="B110" s="152" t="str">
        <f>Master!AF48</f>
        <v>PITCAIRN ISLANDS</v>
      </c>
      <c r="C110" s="151" t="str">
        <f>Master!AG48</f>
        <v>PN</v>
      </c>
      <c r="D110" s="258">
        <v>0</v>
      </c>
      <c r="E110" s="258">
        <v>0</v>
      </c>
      <c r="F110" s="258">
        <v>0</v>
      </c>
      <c r="G110" s="258">
        <v>0</v>
      </c>
      <c r="H110" s="258">
        <v>0</v>
      </c>
      <c r="I110" s="258">
        <v>0</v>
      </c>
      <c r="J110" s="258">
        <v>0</v>
      </c>
      <c r="K110" s="258">
        <v>0</v>
      </c>
      <c r="L110" s="258">
        <v>0</v>
      </c>
      <c r="M110" s="258">
        <v>0</v>
      </c>
      <c r="N110" s="258">
        <v>0</v>
      </c>
      <c r="O110" s="258">
        <v>0</v>
      </c>
      <c r="P110" s="258">
        <f t="shared" si="1"/>
        <v>0</v>
      </c>
      <c r="Q110" s="152" t="str">
        <f>Master!AF48</f>
        <v>PITCAIRN ISLANDS</v>
      </c>
      <c r="R110" s="263"/>
    </row>
    <row r="111" spans="2:18" ht="15.75" thickBot="1" x14ac:dyDescent="0.3">
      <c r="B111" s="152" t="str">
        <f>Master!AF49</f>
        <v>RWANDA</v>
      </c>
      <c r="C111" s="151" t="str">
        <f>Master!AG49</f>
        <v>RW</v>
      </c>
      <c r="D111" s="258">
        <v>0</v>
      </c>
      <c r="E111" s="258">
        <v>0</v>
      </c>
      <c r="F111" s="258">
        <v>0</v>
      </c>
      <c r="G111" s="258">
        <v>0</v>
      </c>
      <c r="H111" s="258">
        <v>0</v>
      </c>
      <c r="I111" s="258">
        <v>0</v>
      </c>
      <c r="J111" s="258">
        <v>0</v>
      </c>
      <c r="K111" s="258">
        <v>0</v>
      </c>
      <c r="L111" s="258">
        <v>0</v>
      </c>
      <c r="M111" s="258">
        <v>0</v>
      </c>
      <c r="N111" s="258">
        <v>0</v>
      </c>
      <c r="O111" s="258">
        <v>0</v>
      </c>
      <c r="P111" s="258">
        <f t="shared" si="1"/>
        <v>0</v>
      </c>
      <c r="Q111" s="152" t="str">
        <f>Master!AF49</f>
        <v>RWANDA</v>
      </c>
      <c r="R111" s="263"/>
    </row>
    <row r="112" spans="2:18" ht="15.75" thickBot="1" x14ac:dyDescent="0.3">
      <c r="B112" s="152" t="str">
        <f>Master!AF50</f>
        <v>RUSSIA</v>
      </c>
      <c r="C112" s="151" t="str">
        <f>Master!AG50</f>
        <v>RS</v>
      </c>
      <c r="D112" s="258">
        <v>0</v>
      </c>
      <c r="E112" s="258">
        <v>0</v>
      </c>
      <c r="F112" s="258">
        <v>0</v>
      </c>
      <c r="G112" s="258">
        <v>0</v>
      </c>
      <c r="H112" s="258">
        <v>0</v>
      </c>
      <c r="I112" s="258">
        <v>0</v>
      </c>
      <c r="J112" s="258">
        <v>0</v>
      </c>
      <c r="K112" s="258">
        <v>0</v>
      </c>
      <c r="L112" s="258">
        <v>0</v>
      </c>
      <c r="M112" s="258">
        <v>0</v>
      </c>
      <c r="N112" s="258">
        <v>0</v>
      </c>
      <c r="O112" s="258">
        <v>0</v>
      </c>
      <c r="P112" s="258">
        <f t="shared" si="1"/>
        <v>0</v>
      </c>
      <c r="Q112" s="152" t="str">
        <f>Master!AF50</f>
        <v>RUSSIA</v>
      </c>
      <c r="R112" s="263"/>
    </row>
    <row r="113" spans="2:18" ht="15.75" thickBot="1" x14ac:dyDescent="0.3">
      <c r="B113" s="152" t="str">
        <f>Master!AF51</f>
        <v>SIERRA LEON</v>
      </c>
      <c r="C113" s="151" t="str">
        <f>Master!AG51</f>
        <v>SL</v>
      </c>
      <c r="D113" s="258">
        <v>0</v>
      </c>
      <c r="E113" s="258">
        <v>0</v>
      </c>
      <c r="F113" s="258">
        <v>0</v>
      </c>
      <c r="G113" s="258">
        <v>0</v>
      </c>
      <c r="H113" s="258">
        <v>0</v>
      </c>
      <c r="I113" s="258">
        <v>0</v>
      </c>
      <c r="J113" s="258">
        <v>0</v>
      </c>
      <c r="K113" s="258">
        <v>0</v>
      </c>
      <c r="L113" s="258">
        <v>0</v>
      </c>
      <c r="M113" s="258">
        <v>0</v>
      </c>
      <c r="N113" s="258">
        <v>0</v>
      </c>
      <c r="O113" s="258">
        <v>0</v>
      </c>
      <c r="P113" s="258">
        <f t="shared" si="1"/>
        <v>0</v>
      </c>
      <c r="Q113" s="152" t="str">
        <f>Master!AF51</f>
        <v>SIERRA LEON</v>
      </c>
      <c r="R113" s="263"/>
    </row>
    <row r="114" spans="2:18" ht="15.75" thickBot="1" x14ac:dyDescent="0.3">
      <c r="B114" s="152" t="str">
        <f>Master!AF52</f>
        <v>SOMALIA</v>
      </c>
      <c r="C114" s="151" t="str">
        <f>Master!AG52</f>
        <v>SO</v>
      </c>
      <c r="D114" s="258">
        <v>0</v>
      </c>
      <c r="E114" s="258">
        <v>0</v>
      </c>
      <c r="F114" s="258">
        <v>0</v>
      </c>
      <c r="G114" s="258">
        <v>0</v>
      </c>
      <c r="H114" s="258">
        <v>0</v>
      </c>
      <c r="I114" s="258">
        <v>2</v>
      </c>
      <c r="J114" s="258">
        <v>0</v>
      </c>
      <c r="K114" s="258">
        <v>0</v>
      </c>
      <c r="L114" s="258">
        <v>0</v>
      </c>
      <c r="M114" s="258">
        <v>0</v>
      </c>
      <c r="N114" s="258">
        <v>0</v>
      </c>
      <c r="O114" s="258">
        <v>0</v>
      </c>
      <c r="P114" s="258">
        <f t="shared" si="1"/>
        <v>2</v>
      </c>
      <c r="Q114" s="152" t="str">
        <f>Master!AF52</f>
        <v>SOMALIA</v>
      </c>
      <c r="R114" s="263"/>
    </row>
    <row r="115" spans="2:18" ht="15.75" thickBot="1" x14ac:dyDescent="0.3">
      <c r="B115" s="152" t="str">
        <f>Master!AF53</f>
        <v>SPAIN</v>
      </c>
      <c r="C115" s="151" t="str">
        <f>Master!AG53</f>
        <v>ES</v>
      </c>
      <c r="D115" s="258">
        <v>0</v>
      </c>
      <c r="E115" s="258">
        <v>0</v>
      </c>
      <c r="F115" s="258">
        <v>0</v>
      </c>
      <c r="G115" s="258">
        <v>0</v>
      </c>
      <c r="H115" s="258">
        <v>0</v>
      </c>
      <c r="I115" s="258">
        <v>0</v>
      </c>
      <c r="J115" s="258">
        <v>0</v>
      </c>
      <c r="K115" s="258">
        <v>0</v>
      </c>
      <c r="L115" s="258">
        <v>0</v>
      </c>
      <c r="M115" s="258">
        <v>0</v>
      </c>
      <c r="N115" s="258">
        <v>0</v>
      </c>
      <c r="O115" s="258">
        <v>0</v>
      </c>
      <c r="P115" s="258">
        <f t="shared" si="1"/>
        <v>0</v>
      </c>
      <c r="Q115" s="152" t="str">
        <f>Master!AF53</f>
        <v>SPAIN</v>
      </c>
      <c r="R115" s="263"/>
    </row>
    <row r="116" spans="2:18" ht="15.75" thickBot="1" x14ac:dyDescent="0.3">
      <c r="B116" s="152" t="str">
        <f>Master!AF54</f>
        <v>SOUTH SUDAN</v>
      </c>
      <c r="C116" s="151" t="str">
        <f>Master!AG54</f>
        <v>SS</v>
      </c>
      <c r="D116" s="258">
        <v>0</v>
      </c>
      <c r="E116" s="258">
        <v>0</v>
      </c>
      <c r="F116" s="258">
        <v>0</v>
      </c>
      <c r="G116" s="258">
        <v>0</v>
      </c>
      <c r="H116" s="258">
        <v>0</v>
      </c>
      <c r="I116" s="258">
        <v>0</v>
      </c>
      <c r="J116" s="258">
        <v>0</v>
      </c>
      <c r="K116" s="258">
        <v>0</v>
      </c>
      <c r="L116" s="258">
        <v>0</v>
      </c>
      <c r="M116" s="258">
        <v>0</v>
      </c>
      <c r="N116" s="258">
        <v>0</v>
      </c>
      <c r="O116" s="258">
        <v>0</v>
      </c>
      <c r="P116" s="258">
        <f t="shared" si="1"/>
        <v>0</v>
      </c>
      <c r="Q116" s="152" t="str">
        <f>Master!AF54</f>
        <v>SOUTH SUDAN</v>
      </c>
      <c r="R116" s="263"/>
    </row>
    <row r="117" spans="2:18" ht="15.75" thickBot="1" x14ac:dyDescent="0.3">
      <c r="B117" s="152" t="str">
        <f>Master!AF55</f>
        <v>SRI LANKA</v>
      </c>
      <c r="C117" s="151" t="str">
        <f>Master!AG55</f>
        <v>CE</v>
      </c>
      <c r="D117" s="258">
        <v>0</v>
      </c>
      <c r="E117" s="258">
        <v>0</v>
      </c>
      <c r="F117" s="258">
        <v>0</v>
      </c>
      <c r="G117" s="258">
        <v>0</v>
      </c>
      <c r="H117" s="258">
        <v>0</v>
      </c>
      <c r="I117" s="258">
        <v>0</v>
      </c>
      <c r="J117" s="258">
        <v>0</v>
      </c>
      <c r="K117" s="258">
        <v>0</v>
      </c>
      <c r="L117" s="258">
        <v>0</v>
      </c>
      <c r="M117" s="258">
        <v>0</v>
      </c>
      <c r="N117" s="258">
        <v>0</v>
      </c>
      <c r="O117" s="258">
        <v>0</v>
      </c>
      <c r="P117" s="258">
        <f t="shared" si="1"/>
        <v>0</v>
      </c>
      <c r="Q117" s="152" t="str">
        <f>Master!AF55</f>
        <v>SRI LANKA</v>
      </c>
      <c r="R117" s="263"/>
    </row>
    <row r="118" spans="2:18" ht="15.75" thickBot="1" x14ac:dyDescent="0.3">
      <c r="B118" s="152" t="str">
        <f>Master!AF56</f>
        <v>SUDAN</v>
      </c>
      <c r="C118" s="151" t="str">
        <f>Master!AG56</f>
        <v>SU</v>
      </c>
      <c r="D118" s="258">
        <v>0</v>
      </c>
      <c r="E118" s="258">
        <v>0</v>
      </c>
      <c r="F118" s="258">
        <v>0</v>
      </c>
      <c r="G118" s="258">
        <v>0</v>
      </c>
      <c r="H118" s="258">
        <v>0</v>
      </c>
      <c r="I118" s="258">
        <v>0</v>
      </c>
      <c r="J118" s="258">
        <v>0</v>
      </c>
      <c r="K118" s="258">
        <v>0</v>
      </c>
      <c r="L118" s="258">
        <v>0</v>
      </c>
      <c r="M118" s="258">
        <v>0</v>
      </c>
      <c r="N118" s="258">
        <v>0</v>
      </c>
      <c r="O118" s="258">
        <v>0</v>
      </c>
      <c r="P118" s="258">
        <f t="shared" si="1"/>
        <v>0</v>
      </c>
      <c r="Q118" s="152" t="str">
        <f>Master!AF56</f>
        <v>SUDAN</v>
      </c>
      <c r="R118" s="263"/>
    </row>
    <row r="119" spans="2:18" ht="15.75" thickBot="1" x14ac:dyDescent="0.3">
      <c r="B119" s="152" t="str">
        <f>Master!AF57</f>
        <v>SYRIA</v>
      </c>
      <c r="C119" s="151" t="str">
        <f>Master!AG57</f>
        <v>SY</v>
      </c>
      <c r="D119" s="258">
        <v>0</v>
      </c>
      <c r="E119" s="258">
        <v>0</v>
      </c>
      <c r="F119" s="258">
        <v>0</v>
      </c>
      <c r="G119" s="258">
        <v>0</v>
      </c>
      <c r="H119" s="258">
        <v>0</v>
      </c>
      <c r="I119" s="258">
        <v>0</v>
      </c>
      <c r="J119" s="258">
        <v>0</v>
      </c>
      <c r="K119" s="258">
        <v>0</v>
      </c>
      <c r="L119" s="258">
        <v>0</v>
      </c>
      <c r="M119" s="258">
        <v>0</v>
      </c>
      <c r="N119" s="258">
        <v>0</v>
      </c>
      <c r="O119" s="258">
        <v>0</v>
      </c>
      <c r="P119" s="258">
        <f t="shared" si="1"/>
        <v>0</v>
      </c>
      <c r="Q119" s="152" t="str">
        <f>Master!AF57</f>
        <v>SYRIA</v>
      </c>
      <c r="R119" s="263"/>
    </row>
    <row r="120" spans="2:18" ht="15.75" thickBot="1" x14ac:dyDescent="0.3">
      <c r="B120" s="152" t="str">
        <f>Master!AF58</f>
        <v>TAJIKISTAN</v>
      </c>
      <c r="C120" s="151" t="str">
        <f>Master!AG58</f>
        <v>TI</v>
      </c>
      <c r="D120" s="258">
        <v>0</v>
      </c>
      <c r="E120" s="258">
        <v>0</v>
      </c>
      <c r="F120" s="258">
        <v>0</v>
      </c>
      <c r="G120" s="258">
        <v>0</v>
      </c>
      <c r="H120" s="258">
        <v>0</v>
      </c>
      <c r="I120" s="258">
        <v>0</v>
      </c>
      <c r="J120" s="258">
        <v>0</v>
      </c>
      <c r="K120" s="258">
        <v>0</v>
      </c>
      <c r="L120" s="258">
        <v>0</v>
      </c>
      <c r="M120" s="258">
        <v>0</v>
      </c>
      <c r="N120" s="258">
        <v>0</v>
      </c>
      <c r="O120" s="258">
        <v>0</v>
      </c>
      <c r="P120" s="258">
        <f t="shared" si="1"/>
        <v>0</v>
      </c>
      <c r="Q120" s="152" t="str">
        <f>Master!AF58</f>
        <v>TAJIKISTAN</v>
      </c>
      <c r="R120" s="263"/>
    </row>
    <row r="121" spans="2:18" ht="15.75" thickBot="1" x14ac:dyDescent="0.3">
      <c r="B121" s="152" t="str">
        <f>Master!AF59</f>
        <v>TANZANIA</v>
      </c>
      <c r="C121" s="151" t="str">
        <f>Master!AG59</f>
        <v>TZ</v>
      </c>
      <c r="D121" s="258">
        <v>0</v>
      </c>
      <c r="E121" s="258">
        <v>0</v>
      </c>
      <c r="F121" s="258">
        <v>0</v>
      </c>
      <c r="G121" s="258">
        <v>0</v>
      </c>
      <c r="H121" s="258">
        <v>0</v>
      </c>
      <c r="I121" s="258">
        <v>0</v>
      </c>
      <c r="J121" s="258">
        <v>0</v>
      </c>
      <c r="K121" s="258">
        <v>0</v>
      </c>
      <c r="L121" s="258">
        <v>0</v>
      </c>
      <c r="M121" s="258">
        <v>0</v>
      </c>
      <c r="N121" s="258">
        <v>0</v>
      </c>
      <c r="O121" s="258">
        <v>0</v>
      </c>
      <c r="P121" s="258">
        <f t="shared" si="1"/>
        <v>0</v>
      </c>
      <c r="Q121" s="152" t="str">
        <f>Master!AF59</f>
        <v>TANZANIA</v>
      </c>
      <c r="R121" s="263"/>
    </row>
    <row r="122" spans="2:18" ht="15.75" thickBot="1" x14ac:dyDescent="0.3">
      <c r="B122" s="152" t="str">
        <f>Master!AF60</f>
        <v>THAILAND</v>
      </c>
      <c r="C122" s="151" t="str">
        <f>Master!AG60</f>
        <v>TH</v>
      </c>
      <c r="D122" s="258">
        <v>0</v>
      </c>
      <c r="E122" s="258">
        <v>0</v>
      </c>
      <c r="F122" s="258">
        <v>0</v>
      </c>
      <c r="G122" s="258">
        <v>0</v>
      </c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f t="shared" si="1"/>
        <v>0</v>
      </c>
      <c r="Q122" s="152" t="str">
        <f>Master!AF60</f>
        <v>THAILAND</v>
      </c>
      <c r="R122" s="263"/>
    </row>
    <row r="123" spans="2:18" ht="15.75" thickBot="1" x14ac:dyDescent="0.3">
      <c r="B123" s="152" t="str">
        <f>Master!AF61</f>
        <v>UGANDA</v>
      </c>
      <c r="C123" s="151" t="str">
        <f>Master!AG61</f>
        <v>UG</v>
      </c>
      <c r="D123" s="258">
        <v>0</v>
      </c>
      <c r="E123" s="258">
        <v>0</v>
      </c>
      <c r="F123" s="258">
        <v>0</v>
      </c>
      <c r="G123" s="258">
        <v>0</v>
      </c>
      <c r="H123" s="258">
        <v>0</v>
      </c>
      <c r="I123" s="258">
        <v>0</v>
      </c>
      <c r="J123" s="258">
        <v>0</v>
      </c>
      <c r="K123" s="258">
        <v>0</v>
      </c>
      <c r="L123" s="258">
        <v>0</v>
      </c>
      <c r="M123" s="258">
        <v>0</v>
      </c>
      <c r="N123" s="258">
        <v>0</v>
      </c>
      <c r="O123" s="258">
        <v>0</v>
      </c>
      <c r="P123" s="258">
        <f t="shared" si="1"/>
        <v>0</v>
      </c>
      <c r="Q123" s="152" t="str">
        <f>Master!AF61</f>
        <v>UGANDA</v>
      </c>
      <c r="R123" s="263"/>
    </row>
    <row r="124" spans="2:18" ht="15.75" thickBot="1" x14ac:dyDescent="0.3">
      <c r="B124" s="152" t="str">
        <f>Master!AF62</f>
        <v>UKRAINE</v>
      </c>
      <c r="C124" s="151" t="str">
        <f>Master!AG62</f>
        <v>UP</v>
      </c>
      <c r="D124" s="258">
        <v>0</v>
      </c>
      <c r="E124" s="258">
        <v>0</v>
      </c>
      <c r="F124" s="258">
        <v>0</v>
      </c>
      <c r="G124" s="258">
        <v>0</v>
      </c>
      <c r="H124" s="258">
        <v>0</v>
      </c>
      <c r="I124" s="258">
        <v>0</v>
      </c>
      <c r="J124" s="258">
        <v>0</v>
      </c>
      <c r="K124" s="258">
        <v>0</v>
      </c>
      <c r="L124" s="258">
        <v>0</v>
      </c>
      <c r="M124" s="258">
        <v>0</v>
      </c>
      <c r="N124" s="258">
        <v>0</v>
      </c>
      <c r="O124" s="258">
        <v>0</v>
      </c>
      <c r="P124" s="258">
        <f t="shared" si="1"/>
        <v>0</v>
      </c>
      <c r="Q124" s="152" t="str">
        <f>Master!AF62</f>
        <v>UKRAINE</v>
      </c>
      <c r="R124" s="263"/>
    </row>
    <row r="125" spans="2:18" ht="15.75" thickBot="1" x14ac:dyDescent="0.3">
      <c r="B125" s="152" t="str">
        <f>Master!AF63</f>
        <v>UZBEKISTAN</v>
      </c>
      <c r="C125" s="151" t="str">
        <f>Master!AG63</f>
        <v>UZ</v>
      </c>
      <c r="D125" s="258">
        <v>0</v>
      </c>
      <c r="E125" s="258">
        <v>0</v>
      </c>
      <c r="F125" s="258">
        <v>0</v>
      </c>
      <c r="G125" s="258">
        <v>0</v>
      </c>
      <c r="H125" s="258">
        <v>0</v>
      </c>
      <c r="I125" s="258">
        <v>0</v>
      </c>
      <c r="J125" s="258">
        <v>0</v>
      </c>
      <c r="K125" s="258">
        <v>0</v>
      </c>
      <c r="L125" s="258">
        <v>0</v>
      </c>
      <c r="M125" s="258">
        <v>0</v>
      </c>
      <c r="N125" s="258">
        <v>0</v>
      </c>
      <c r="O125" s="258">
        <v>0</v>
      </c>
      <c r="P125" s="258">
        <f t="shared" si="1"/>
        <v>0</v>
      </c>
      <c r="Q125" s="152" t="str">
        <f>Master!AF63</f>
        <v>UZBEKISTAN</v>
      </c>
      <c r="R125" s="263"/>
    </row>
    <row r="126" spans="2:18" ht="15.75" thickBot="1" x14ac:dyDescent="0.3">
      <c r="B126" s="152" t="str">
        <f>Master!AF64</f>
        <v>VIETNAM</v>
      </c>
      <c r="C126" s="151" t="str">
        <f>Master!AG64</f>
        <v>VM</v>
      </c>
      <c r="D126" s="258">
        <v>0</v>
      </c>
      <c r="E126" s="258">
        <v>0</v>
      </c>
      <c r="F126" s="258">
        <v>0</v>
      </c>
      <c r="G126" s="258">
        <v>0</v>
      </c>
      <c r="H126" s="258">
        <v>0</v>
      </c>
      <c r="I126" s="258">
        <v>0</v>
      </c>
      <c r="J126" s="258">
        <v>0</v>
      </c>
      <c r="K126" s="258">
        <v>0</v>
      </c>
      <c r="L126" s="258">
        <v>0</v>
      </c>
      <c r="M126" s="258">
        <v>0</v>
      </c>
      <c r="N126" s="258">
        <v>0</v>
      </c>
      <c r="O126" s="258">
        <v>0</v>
      </c>
      <c r="P126" s="258">
        <f t="shared" si="1"/>
        <v>0</v>
      </c>
      <c r="Q126" s="152" t="str">
        <f>Master!AF64</f>
        <v>VIETNAM</v>
      </c>
      <c r="R126" s="263"/>
    </row>
    <row r="127" spans="2:18" ht="15.75" thickBot="1" x14ac:dyDescent="0.3">
      <c r="B127" s="152" t="str">
        <f>Master!AF65</f>
        <v>ZAMBIA</v>
      </c>
      <c r="C127" s="151" t="str">
        <f>Master!AG65</f>
        <v>ZA</v>
      </c>
      <c r="D127" s="258">
        <v>0</v>
      </c>
      <c r="E127" s="258">
        <v>0</v>
      </c>
      <c r="F127" s="258">
        <v>0</v>
      </c>
      <c r="G127" s="258">
        <v>0</v>
      </c>
      <c r="H127" s="258">
        <v>0</v>
      </c>
      <c r="I127" s="258">
        <v>0</v>
      </c>
      <c r="J127" s="258">
        <v>0</v>
      </c>
      <c r="K127" s="258">
        <v>0</v>
      </c>
      <c r="L127" s="258">
        <v>0</v>
      </c>
      <c r="M127" s="258">
        <v>0</v>
      </c>
      <c r="N127" s="258">
        <v>0</v>
      </c>
      <c r="O127" s="258">
        <v>0</v>
      </c>
      <c r="P127" s="258">
        <f t="shared" si="1"/>
        <v>0</v>
      </c>
      <c r="Q127" s="152" t="str">
        <f>Master!AF65</f>
        <v>ZAMBIA</v>
      </c>
      <c r="R127" s="263"/>
    </row>
    <row r="128" spans="2:18" ht="15.75" thickBot="1" x14ac:dyDescent="0.3">
      <c r="B128" s="245" t="s">
        <v>53</v>
      </c>
      <c r="C128" s="246"/>
      <c r="D128" s="249">
        <f>SUM(D69:D127)</f>
        <v>2</v>
      </c>
      <c r="E128" s="249">
        <f>SUM(E69:E127)</f>
        <v>0</v>
      </c>
      <c r="F128" s="249">
        <f>SUM(F69:F127)</f>
        <v>0</v>
      </c>
      <c r="G128" s="249">
        <f>SUM(G69:G127)</f>
        <v>0</v>
      </c>
      <c r="H128" s="249">
        <f>SUM(H69:H127)</f>
        <v>0</v>
      </c>
      <c r="I128" s="249">
        <f>SUM(I69:I127)</f>
        <v>2</v>
      </c>
      <c r="J128" s="249">
        <f>SUM(J69:J127)</f>
        <v>0</v>
      </c>
      <c r="K128" s="249">
        <v>0</v>
      </c>
      <c r="L128" s="249">
        <v>0</v>
      </c>
      <c r="M128" s="249">
        <v>0</v>
      </c>
      <c r="N128" s="249">
        <v>0</v>
      </c>
      <c r="O128" s="249">
        <v>0</v>
      </c>
      <c r="P128" s="249">
        <f>SUM(D128:O128)</f>
        <v>4</v>
      </c>
      <c r="Q128" s="240" t="s">
        <v>53</v>
      </c>
      <c r="R128" s="263"/>
    </row>
    <row r="129" spans="2:18" x14ac:dyDescent="0.25"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</row>
    <row r="130" spans="2:18" x14ac:dyDescent="0.25"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</row>
    <row r="131" spans="2:18" x14ac:dyDescent="0.25"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</row>
  </sheetData>
  <mergeCells count="3">
    <mergeCell ref="B3:C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Q131"/>
  <sheetViews>
    <sheetView workbookViewId="0">
      <selection activeCell="S15" sqref="S15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2:17" ht="10.5" customHeight="1" thickBot="1" x14ac:dyDescent="0.3"/>
    <row r="2" spans="2:17" ht="15.75" thickBot="1" x14ac:dyDescent="0.3">
      <c r="B2" s="237" t="s">
        <v>59</v>
      </c>
      <c r="C2" s="255"/>
      <c r="D2" s="255"/>
      <c r="E2" s="255"/>
      <c r="F2" s="255"/>
      <c r="G2" s="255"/>
      <c r="H2" s="255"/>
      <c r="I2" s="255"/>
      <c r="J2" s="255" t="s">
        <v>8</v>
      </c>
      <c r="K2" s="255"/>
      <c r="L2" s="255"/>
      <c r="M2" s="255"/>
      <c r="N2" s="255"/>
      <c r="O2" s="255"/>
      <c r="P2" s="255"/>
      <c r="Q2" s="256"/>
    </row>
    <row r="3" spans="2:17" ht="13.5" customHeight="1" thickBot="1" x14ac:dyDescent="0.3">
      <c r="B3" s="369"/>
      <c r="C3" s="370"/>
      <c r="D3" s="211" t="s">
        <v>19</v>
      </c>
      <c r="E3" s="211" t="s">
        <v>20</v>
      </c>
      <c r="F3" s="211" t="s">
        <v>21</v>
      </c>
      <c r="G3" s="211" t="s">
        <v>22</v>
      </c>
      <c r="H3" s="211" t="s">
        <v>23</v>
      </c>
      <c r="I3" s="211" t="s">
        <v>24</v>
      </c>
      <c r="J3" s="211" t="s">
        <v>25</v>
      </c>
      <c r="K3" s="211" t="s">
        <v>26</v>
      </c>
      <c r="L3" s="211" t="s">
        <v>27</v>
      </c>
      <c r="M3" s="211" t="s">
        <v>28</v>
      </c>
      <c r="N3" s="211" t="s">
        <v>29</v>
      </c>
      <c r="O3" s="211" t="s">
        <v>30</v>
      </c>
      <c r="P3" s="381" t="s">
        <v>40</v>
      </c>
      <c r="Q3" s="375"/>
    </row>
    <row r="4" spans="2:17" ht="13.5" customHeight="1" thickBot="1" x14ac:dyDescent="0.3">
      <c r="B4" s="371"/>
      <c r="C4" s="372"/>
      <c r="D4" s="151">
        <v>10</v>
      </c>
      <c r="E4" s="52">
        <v>11</v>
      </c>
      <c r="F4" s="52">
        <v>12</v>
      </c>
      <c r="G4" s="52">
        <v>1</v>
      </c>
      <c r="H4" s="52">
        <v>2</v>
      </c>
      <c r="I4" s="52">
        <v>3</v>
      </c>
      <c r="J4" s="52">
        <v>4</v>
      </c>
      <c r="K4" s="52">
        <v>5</v>
      </c>
      <c r="L4" s="52">
        <v>6</v>
      </c>
      <c r="M4" s="52">
        <v>7</v>
      </c>
      <c r="N4" s="52">
        <v>8</v>
      </c>
      <c r="O4" s="52">
        <v>9</v>
      </c>
      <c r="P4" s="382"/>
      <c r="Q4" s="376"/>
    </row>
    <row r="5" spans="2:17" ht="15.75" thickBot="1" x14ac:dyDescent="0.3">
      <c r="B5" s="152" t="str">
        <f>Master!AF7</f>
        <v>AFGHANISTAN</v>
      </c>
      <c r="C5" s="151" t="str">
        <f>Master!AG7</f>
        <v>AF</v>
      </c>
      <c r="D5" s="66">
        <v>0</v>
      </c>
      <c r="E5" s="258">
        <v>0</v>
      </c>
      <c r="F5" s="258">
        <v>0</v>
      </c>
      <c r="G5" s="258">
        <v>0</v>
      </c>
      <c r="H5" s="258">
        <v>0</v>
      </c>
      <c r="I5" s="258">
        <v>0</v>
      </c>
      <c r="J5" s="258">
        <v>0</v>
      </c>
      <c r="K5" s="258">
        <v>4</v>
      </c>
      <c r="L5" s="258">
        <v>0</v>
      </c>
      <c r="M5" s="258">
        <v>0</v>
      </c>
      <c r="N5" s="258">
        <v>0</v>
      </c>
      <c r="O5" s="258">
        <v>0</v>
      </c>
      <c r="P5" s="258">
        <f>SUM(D5:O5)</f>
        <v>4</v>
      </c>
      <c r="Q5" s="152" t="str">
        <f>Master!AF7</f>
        <v>AFGHANISTAN</v>
      </c>
    </row>
    <row r="6" spans="2:17" ht="15.75" thickBot="1" x14ac:dyDescent="0.3">
      <c r="B6" s="152" t="str">
        <f>Master!AF8</f>
        <v>ARMENIA</v>
      </c>
      <c r="C6" s="151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2" t="str">
        <f>Master!AF8</f>
        <v>ARMENIA</v>
      </c>
    </row>
    <row r="7" spans="2:17" ht="15.75" thickBot="1" x14ac:dyDescent="0.3">
      <c r="B7" s="152" t="s">
        <v>780</v>
      </c>
      <c r="C7" s="151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0</v>
      </c>
      <c r="P7" s="258">
        <f t="shared" si="0"/>
        <v>0</v>
      </c>
      <c r="Q7" s="152" t="s">
        <v>780</v>
      </c>
    </row>
    <row r="8" spans="2:17" ht="15.75" thickBot="1" x14ac:dyDescent="0.3">
      <c r="B8" s="152" t="str">
        <f>Master!AF10</f>
        <v>BELARUS</v>
      </c>
      <c r="C8" s="151" t="str">
        <f>Master!AG10</f>
        <v>BO</v>
      </c>
      <c r="D8" s="258">
        <v>0</v>
      </c>
      <c r="E8" s="258">
        <v>0</v>
      </c>
      <c r="F8" s="258">
        <v>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0</v>
      </c>
      <c r="Q8" s="152" t="str">
        <f>Master!AF10</f>
        <v>BELARUS</v>
      </c>
    </row>
    <row r="9" spans="2:17" ht="15.75" thickBot="1" x14ac:dyDescent="0.3">
      <c r="B9" s="152" t="str">
        <f>Master!AF11</f>
        <v>BURMA</v>
      </c>
      <c r="C9" s="151" t="str">
        <f>Master!AG11</f>
        <v>BM</v>
      </c>
      <c r="D9" s="258">
        <v>1</v>
      </c>
      <c r="E9" s="258">
        <v>0</v>
      </c>
      <c r="F9" s="258">
        <v>5</v>
      </c>
      <c r="G9" s="258">
        <v>0</v>
      </c>
      <c r="H9" s="258">
        <v>0</v>
      </c>
      <c r="I9" s="258">
        <v>3</v>
      </c>
      <c r="J9" s="258">
        <v>3</v>
      </c>
      <c r="K9" s="258">
        <v>2</v>
      </c>
      <c r="L9" s="258">
        <v>0</v>
      </c>
      <c r="M9" s="258">
        <v>0</v>
      </c>
      <c r="N9" s="258">
        <v>0</v>
      </c>
      <c r="O9" s="258">
        <v>4</v>
      </c>
      <c r="P9" s="258">
        <f t="shared" si="0"/>
        <v>18</v>
      </c>
      <c r="Q9" s="152" t="str">
        <f>Master!AF11</f>
        <v>BURMA</v>
      </c>
    </row>
    <row r="10" spans="2:17" ht="15.75" thickBot="1" x14ac:dyDescent="0.3">
      <c r="B10" s="152" t="str">
        <f>Master!AF12</f>
        <v>BHUTAN</v>
      </c>
      <c r="C10" s="151" t="str">
        <f>Master!AG12</f>
        <v>BT</v>
      </c>
      <c r="D10" s="258">
        <v>0</v>
      </c>
      <c r="E10" s="258">
        <v>0</v>
      </c>
      <c r="F10" s="258">
        <v>2</v>
      </c>
      <c r="G10" s="258">
        <v>0</v>
      </c>
      <c r="H10" s="258">
        <v>0</v>
      </c>
      <c r="I10" s="258">
        <v>0</v>
      </c>
      <c r="J10" s="258">
        <v>0</v>
      </c>
      <c r="K10" s="258">
        <v>3</v>
      </c>
      <c r="L10" s="258">
        <v>0</v>
      </c>
      <c r="M10" s="258">
        <v>0</v>
      </c>
      <c r="N10" s="258">
        <v>2</v>
      </c>
      <c r="O10" s="258">
        <v>4</v>
      </c>
      <c r="P10" s="258">
        <f t="shared" si="0"/>
        <v>11</v>
      </c>
      <c r="Q10" s="152" t="str">
        <f>Master!AF12</f>
        <v>BHUTAN</v>
      </c>
    </row>
    <row r="11" spans="2:17" ht="15.75" thickBot="1" x14ac:dyDescent="0.3">
      <c r="B11" s="152" t="s">
        <v>779</v>
      </c>
      <c r="C11" s="151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2" t="s">
        <v>779</v>
      </c>
    </row>
    <row r="12" spans="2:17" ht="15.75" thickBot="1" x14ac:dyDescent="0.3">
      <c r="B12" s="152" t="str">
        <f>Master!AF14</f>
        <v>BURUNDI</v>
      </c>
      <c r="C12" s="151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2" t="str">
        <f>Master!AF14</f>
        <v>BURUNDI</v>
      </c>
    </row>
    <row r="13" spans="2:17" ht="15.75" thickBot="1" x14ac:dyDescent="0.3">
      <c r="B13" s="152" t="str">
        <f>Master!AF15</f>
        <v>CAMEROUN</v>
      </c>
      <c r="C13" s="151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0</v>
      </c>
      <c r="Q13" s="152" t="str">
        <f>Master!AF15</f>
        <v>CAMEROUN</v>
      </c>
    </row>
    <row r="14" spans="2:17" ht="15.75" thickBot="1" x14ac:dyDescent="0.3">
      <c r="B14" s="152" t="str">
        <f>Master!AF16</f>
        <v>CENTRAL AFR REP</v>
      </c>
      <c r="C14" s="151" t="str">
        <f>Master!AG16</f>
        <v>CT</v>
      </c>
      <c r="D14" s="258">
        <v>0</v>
      </c>
      <c r="E14" s="258">
        <v>0</v>
      </c>
      <c r="F14" s="258">
        <v>1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f t="shared" si="0"/>
        <v>1</v>
      </c>
      <c r="Q14" s="152" t="str">
        <f>Master!AF16</f>
        <v>CENTRAL AFR REP</v>
      </c>
    </row>
    <row r="15" spans="2:17" ht="15.75" thickBot="1" x14ac:dyDescent="0.3">
      <c r="B15" s="152" t="str">
        <f>Master!AF17</f>
        <v>CHINA</v>
      </c>
      <c r="C15" s="151" t="str">
        <f>Master!AG17</f>
        <v>CH</v>
      </c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f t="shared" si="0"/>
        <v>0</v>
      </c>
      <c r="Q15" s="152" t="str">
        <f>Master!AF17</f>
        <v>CHINA</v>
      </c>
    </row>
    <row r="16" spans="2:17" ht="15.75" thickBot="1" x14ac:dyDescent="0.3">
      <c r="B16" s="152" t="str">
        <f>Master!AF18</f>
        <v>DEM REP OF CONGO</v>
      </c>
      <c r="C16" s="151" t="str">
        <f>Master!AG18</f>
        <v>CG</v>
      </c>
      <c r="D16" s="258">
        <v>10</v>
      </c>
      <c r="E16" s="258">
        <v>45</v>
      </c>
      <c r="F16" s="258">
        <v>6</v>
      </c>
      <c r="G16" s="258">
        <v>1</v>
      </c>
      <c r="H16" s="258">
        <v>0</v>
      </c>
      <c r="I16" s="258">
        <v>5</v>
      </c>
      <c r="J16" s="258">
        <v>7</v>
      </c>
      <c r="K16" s="258">
        <v>36</v>
      </c>
      <c r="L16" s="258">
        <v>0</v>
      </c>
      <c r="M16" s="258">
        <v>0</v>
      </c>
      <c r="N16" s="258">
        <v>0</v>
      </c>
      <c r="O16" s="258">
        <v>1</v>
      </c>
      <c r="P16" s="258">
        <f t="shared" si="0"/>
        <v>111</v>
      </c>
      <c r="Q16" s="152" t="str">
        <f>Master!AF18</f>
        <v>DEM REP OF CONGO</v>
      </c>
    </row>
    <row r="17" spans="2:17" ht="15.75" thickBot="1" x14ac:dyDescent="0.3">
      <c r="B17" s="152" t="str">
        <f>Master!AF19</f>
        <v>COLUMBIA</v>
      </c>
      <c r="C17" s="151" t="str">
        <f>Master!AG19</f>
        <v>CO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f t="shared" si="0"/>
        <v>0</v>
      </c>
      <c r="Q17" s="152" t="str">
        <f>Master!AF19</f>
        <v>COLUMBIA</v>
      </c>
    </row>
    <row r="18" spans="2:17" ht="15.75" thickBot="1" x14ac:dyDescent="0.3">
      <c r="B18" s="152" t="str">
        <f>Master!AF20</f>
        <v>CONGO</v>
      </c>
      <c r="C18" s="151" t="str">
        <f>Master!AG20</f>
        <v>CF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  <c r="O18" s="258">
        <v>0</v>
      </c>
      <c r="P18" s="258">
        <f t="shared" si="0"/>
        <v>0</v>
      </c>
      <c r="Q18" s="152" t="str">
        <f>Master!AF20</f>
        <v>CONGO</v>
      </c>
    </row>
    <row r="19" spans="2:17" ht="15.75" thickBot="1" x14ac:dyDescent="0.3">
      <c r="B19" s="152" t="str">
        <f>Master!AF21</f>
        <v>CUBA</v>
      </c>
      <c r="C19" s="151" t="str">
        <f>Master!AG21</f>
        <v>CU</v>
      </c>
      <c r="D19" s="258">
        <v>29</v>
      </c>
      <c r="E19" s="258">
        <v>19</v>
      </c>
      <c r="F19" s="258">
        <v>55</v>
      </c>
      <c r="G19" s="258">
        <v>13</v>
      </c>
      <c r="H19" s="258">
        <v>18</v>
      </c>
      <c r="I19" s="258">
        <v>21</v>
      </c>
      <c r="J19" s="258">
        <v>17</v>
      </c>
      <c r="K19" s="258">
        <v>15</v>
      </c>
      <c r="L19" s="258">
        <v>9</v>
      </c>
      <c r="M19" s="258">
        <v>2</v>
      </c>
      <c r="N19" s="258">
        <v>1</v>
      </c>
      <c r="O19" s="258">
        <v>9</v>
      </c>
      <c r="P19" s="258">
        <f t="shared" si="0"/>
        <v>208</v>
      </c>
      <c r="Q19" s="152" t="str">
        <f>Master!AF21</f>
        <v>CUBA</v>
      </c>
    </row>
    <row r="20" spans="2:17" ht="15.75" thickBot="1" x14ac:dyDescent="0.3">
      <c r="B20" s="152" t="str">
        <f>Master!AF22</f>
        <v>CUBAN ENTRANT</v>
      </c>
      <c r="C20" s="151" t="str">
        <f>Master!AG22</f>
        <v>CUE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f t="shared" si="0"/>
        <v>0</v>
      </c>
      <c r="Q20" s="152" t="str">
        <f>Master!AF22</f>
        <v>CUBAN ENTRANT</v>
      </c>
    </row>
    <row r="21" spans="2:17" ht="15.75" thickBot="1" x14ac:dyDescent="0.3">
      <c r="B21" s="152" t="str">
        <f>Master!AF23</f>
        <v>ECUADOR</v>
      </c>
      <c r="C21" s="151" t="str">
        <f>Master!AG23</f>
        <v>EC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f t="shared" si="0"/>
        <v>0</v>
      </c>
      <c r="Q21" s="152" t="str">
        <f>Master!AF23</f>
        <v>ECUADOR</v>
      </c>
    </row>
    <row r="22" spans="2:17" ht="15.75" thickBot="1" x14ac:dyDescent="0.3">
      <c r="B22" s="152" t="str">
        <f>Master!AF24</f>
        <v>EGYPT</v>
      </c>
      <c r="C22" s="151" t="str">
        <f>Master!AG24</f>
        <v>EG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f t="shared" si="0"/>
        <v>0</v>
      </c>
      <c r="Q22" s="152" t="str">
        <f>Master!AF24</f>
        <v>EGYPT</v>
      </c>
    </row>
    <row r="23" spans="2:17" ht="15.75" thickBot="1" x14ac:dyDescent="0.3">
      <c r="B23" s="152" t="str">
        <f>Master!AF25</f>
        <v>ERITREA</v>
      </c>
      <c r="C23" s="151" t="str">
        <f>Master!AG25</f>
        <v>ER</v>
      </c>
      <c r="D23" s="258">
        <v>0</v>
      </c>
      <c r="E23" s="258">
        <v>0</v>
      </c>
      <c r="F23" s="258">
        <v>0</v>
      </c>
      <c r="G23" s="258">
        <v>1</v>
      </c>
      <c r="H23" s="258">
        <v>0</v>
      </c>
      <c r="I23" s="258">
        <v>0</v>
      </c>
      <c r="J23" s="258">
        <v>3</v>
      </c>
      <c r="K23" s="258">
        <v>14</v>
      </c>
      <c r="L23" s="258">
        <v>0</v>
      </c>
      <c r="M23" s="258">
        <v>0</v>
      </c>
      <c r="N23" s="258">
        <v>0</v>
      </c>
      <c r="O23" s="258">
        <v>0</v>
      </c>
      <c r="P23" s="258">
        <f t="shared" si="0"/>
        <v>18</v>
      </c>
      <c r="Q23" s="152" t="str">
        <f>Master!AF25</f>
        <v>ERITREA</v>
      </c>
    </row>
    <row r="24" spans="2:17" ht="15.75" thickBot="1" x14ac:dyDescent="0.3">
      <c r="B24" s="152" t="str">
        <f>Master!AF26</f>
        <v>ETHIOPIA</v>
      </c>
      <c r="C24" s="151" t="str">
        <f>Master!AG26</f>
        <v>ET</v>
      </c>
      <c r="D24" s="258">
        <v>0</v>
      </c>
      <c r="E24" s="258">
        <v>0</v>
      </c>
      <c r="F24" s="258">
        <v>0</v>
      </c>
      <c r="G24" s="258">
        <v>5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f t="shared" si="0"/>
        <v>5</v>
      </c>
      <c r="Q24" s="152" t="str">
        <f>Master!AF26</f>
        <v>ETHIOPIA</v>
      </c>
    </row>
    <row r="25" spans="2:17" ht="15.75" thickBot="1" x14ac:dyDescent="0.3">
      <c r="B25" s="152" t="str">
        <f>Master!AF27</f>
        <v>FRANCE</v>
      </c>
      <c r="C25" s="151" t="str">
        <f>Master!AG27</f>
        <v>FR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f t="shared" si="0"/>
        <v>0</v>
      </c>
      <c r="Q25" s="152" t="str">
        <f>Master!AF27</f>
        <v>FRANCE</v>
      </c>
    </row>
    <row r="26" spans="2:17" ht="15.75" thickBot="1" x14ac:dyDescent="0.3">
      <c r="B26" s="152" t="str">
        <f>Master!AF28</f>
        <v>GUINEA</v>
      </c>
      <c r="C26" s="151" t="str">
        <f>Master!AG28</f>
        <v>GV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f t="shared" si="0"/>
        <v>0</v>
      </c>
      <c r="Q26" s="152" t="str">
        <f>Master!AF28</f>
        <v>GUINEA</v>
      </c>
    </row>
    <row r="27" spans="2:17" ht="15.75" thickBot="1" x14ac:dyDescent="0.3">
      <c r="B27" s="152" t="str">
        <f>Master!AF29</f>
        <v>HAITI</v>
      </c>
      <c r="C27" s="151" t="str">
        <f>Master!AG29</f>
        <v>HA</v>
      </c>
      <c r="D27" s="258">
        <v>0</v>
      </c>
      <c r="E27" s="258">
        <v>0</v>
      </c>
      <c r="F27" s="258">
        <v>0</v>
      </c>
      <c r="G27" s="258">
        <v>0</v>
      </c>
      <c r="H27" s="258">
        <v>19</v>
      </c>
      <c r="I27" s="258">
        <v>6</v>
      </c>
      <c r="J27" s="258">
        <v>7</v>
      </c>
      <c r="K27" s="258">
        <v>8</v>
      </c>
      <c r="L27" s="258">
        <v>13</v>
      </c>
      <c r="M27" s="258">
        <v>2</v>
      </c>
      <c r="N27" s="258">
        <v>4</v>
      </c>
      <c r="O27" s="258">
        <v>2</v>
      </c>
      <c r="P27" s="258">
        <f t="shared" si="0"/>
        <v>61</v>
      </c>
      <c r="Q27" s="152" t="str">
        <f>Master!AF29</f>
        <v>HAITI</v>
      </c>
    </row>
    <row r="28" spans="2:17" ht="15.75" thickBot="1" x14ac:dyDescent="0.3">
      <c r="B28" s="152" t="str">
        <f>Master!AF30</f>
        <v>INDIA</v>
      </c>
      <c r="C28" s="151" t="str">
        <f>Master!AG30</f>
        <v>IN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1</v>
      </c>
      <c r="O28" s="258">
        <v>0</v>
      </c>
      <c r="P28" s="258">
        <f t="shared" si="0"/>
        <v>1</v>
      </c>
      <c r="Q28" s="152" t="str">
        <f>Master!AF30</f>
        <v>INDIA</v>
      </c>
    </row>
    <row r="29" spans="2:17" ht="15.75" thickBot="1" x14ac:dyDescent="0.3">
      <c r="B29" s="152" t="str">
        <f>Master!AF31</f>
        <v>INDONESIA</v>
      </c>
      <c r="C29" s="151" t="str">
        <f>Master!AG31</f>
        <v>ID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f t="shared" si="0"/>
        <v>0</v>
      </c>
      <c r="Q29" s="152" t="str">
        <f>Master!AF31</f>
        <v>INDONESIA</v>
      </c>
    </row>
    <row r="30" spans="2:17" ht="15.75" thickBot="1" x14ac:dyDescent="0.3">
      <c r="B30" s="152" t="str">
        <f>Master!AF32</f>
        <v>IRAN</v>
      </c>
      <c r="C30" s="151" t="str">
        <f>Master!AG32</f>
        <v>IR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258">
        <v>0</v>
      </c>
      <c r="L30" s="258">
        <v>0</v>
      </c>
      <c r="M30" s="258">
        <v>0</v>
      </c>
      <c r="N30" s="258">
        <v>0</v>
      </c>
      <c r="O30" s="258">
        <v>0</v>
      </c>
      <c r="P30" s="258">
        <f t="shared" si="0"/>
        <v>0</v>
      </c>
      <c r="Q30" s="152" t="str">
        <f>Master!AF32</f>
        <v>IRAN</v>
      </c>
    </row>
    <row r="31" spans="2:17" ht="15.75" thickBot="1" x14ac:dyDescent="0.3">
      <c r="B31" s="152" t="str">
        <f>Master!AF33</f>
        <v>IRAQ</v>
      </c>
      <c r="C31" s="151" t="str">
        <f>Master!AG33</f>
        <v>IZ</v>
      </c>
      <c r="D31" s="258">
        <v>0</v>
      </c>
      <c r="E31" s="258">
        <v>1</v>
      </c>
      <c r="F31" s="258">
        <v>1</v>
      </c>
      <c r="G31" s="258">
        <v>4</v>
      </c>
      <c r="H31" s="258">
        <v>0</v>
      </c>
      <c r="I31" s="258">
        <v>0</v>
      </c>
      <c r="J31" s="258">
        <v>0</v>
      </c>
      <c r="K31" s="258">
        <v>5</v>
      </c>
      <c r="L31" s="258">
        <v>0</v>
      </c>
      <c r="M31" s="258">
        <v>0</v>
      </c>
      <c r="N31" s="258">
        <v>1</v>
      </c>
      <c r="O31" s="258">
        <v>0</v>
      </c>
      <c r="P31" s="258">
        <f t="shared" si="0"/>
        <v>12</v>
      </c>
      <c r="Q31" s="152" t="str">
        <f>Master!AF33</f>
        <v>IRAQ</v>
      </c>
    </row>
    <row r="32" spans="2:17" ht="15.75" thickBot="1" x14ac:dyDescent="0.3">
      <c r="B32" s="152" t="str">
        <f>Master!AF34</f>
        <v>IVORY COAST</v>
      </c>
      <c r="C32" s="151" t="str">
        <f>Master!AG34</f>
        <v>IV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f t="shared" si="0"/>
        <v>0</v>
      </c>
      <c r="Q32" s="152" t="str">
        <f>Master!AF34</f>
        <v>IVORY COAST</v>
      </c>
    </row>
    <row r="33" spans="2:17" ht="15.75" thickBot="1" x14ac:dyDescent="0.3">
      <c r="B33" s="152" t="str">
        <f>Master!AF35</f>
        <v>JORDAN</v>
      </c>
      <c r="C33" s="151" t="str">
        <f>Master!AG35</f>
        <v>JO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f t="shared" si="0"/>
        <v>0</v>
      </c>
      <c r="Q33" s="152" t="str">
        <f>Master!AF35</f>
        <v>JORDAN</v>
      </c>
    </row>
    <row r="34" spans="2:17" ht="15.75" thickBot="1" x14ac:dyDescent="0.3">
      <c r="B34" s="152" t="str">
        <f>Master!AF36</f>
        <v>KAZAKHSTAN</v>
      </c>
      <c r="C34" s="151" t="str">
        <f>Master!AG36</f>
        <v>KZ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f t="shared" si="0"/>
        <v>0</v>
      </c>
      <c r="Q34" s="152" t="str">
        <f>Master!AF36</f>
        <v>KAZAKHSTAN</v>
      </c>
    </row>
    <row r="35" spans="2:17" ht="15.75" thickBot="1" x14ac:dyDescent="0.3">
      <c r="B35" s="152" t="str">
        <f>Master!AF37</f>
        <v>KENYA</v>
      </c>
      <c r="C35" s="151" t="str">
        <f>Master!AG37</f>
        <v>KE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f t="shared" si="0"/>
        <v>0</v>
      </c>
      <c r="Q35" s="152" t="str">
        <f>Master!AF37</f>
        <v>KENYA</v>
      </c>
    </row>
    <row r="36" spans="2:17" ht="15.75" thickBot="1" x14ac:dyDescent="0.3">
      <c r="B36" s="152" t="str">
        <f>Master!AF38</f>
        <v>LEBANON</v>
      </c>
      <c r="C36" s="151" t="str">
        <f>Master!AG38</f>
        <v>LE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f t="shared" si="0"/>
        <v>0</v>
      </c>
      <c r="Q36" s="152" t="str">
        <f>Master!AF38</f>
        <v>LEBANON</v>
      </c>
    </row>
    <row r="37" spans="2:17" ht="15.75" thickBot="1" x14ac:dyDescent="0.3">
      <c r="B37" s="152" t="str">
        <f>Master!AF39</f>
        <v>LIBERIA</v>
      </c>
      <c r="C37" s="151" t="str">
        <f>Master!AG39</f>
        <v>LI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f t="shared" si="0"/>
        <v>0</v>
      </c>
      <c r="Q37" s="152" t="str">
        <f>Master!AF39</f>
        <v>LIBERIA</v>
      </c>
    </row>
    <row r="38" spans="2:17" ht="15.75" thickBot="1" x14ac:dyDescent="0.3">
      <c r="B38" s="152" t="str">
        <f>Master!AF40</f>
        <v>LIBYA</v>
      </c>
      <c r="C38" s="151" t="str">
        <f>Master!AG40</f>
        <v>LY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f t="shared" si="0"/>
        <v>0</v>
      </c>
      <c r="Q38" s="152" t="str">
        <f>Master!AF40</f>
        <v>LIBYA</v>
      </c>
    </row>
    <row r="39" spans="2:17" ht="15.75" thickBot="1" x14ac:dyDescent="0.3">
      <c r="B39" s="152" t="str">
        <f>Master!AF41</f>
        <v>MOLDOVA</v>
      </c>
      <c r="C39" s="151" t="str">
        <f>Master!AG41</f>
        <v>MD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f t="shared" si="0"/>
        <v>0</v>
      </c>
      <c r="Q39" s="152" t="str">
        <f>Master!AF41</f>
        <v>MOLDOVA</v>
      </c>
    </row>
    <row r="40" spans="2:17" ht="15.75" thickBot="1" x14ac:dyDescent="0.3">
      <c r="B40" s="152" t="str">
        <f>Master!AF42</f>
        <v>MALI</v>
      </c>
      <c r="C40" s="151" t="str">
        <f>Master!AG42</f>
        <v>ML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8">
        <v>0</v>
      </c>
      <c r="O40" s="258">
        <v>0</v>
      </c>
      <c r="P40" s="258">
        <f t="shared" si="0"/>
        <v>0</v>
      </c>
      <c r="Q40" s="152" t="str">
        <f>Master!AF42</f>
        <v>MALI</v>
      </c>
    </row>
    <row r="41" spans="2:17" ht="15.75" thickBot="1" x14ac:dyDescent="0.3">
      <c r="B41" s="152" t="str">
        <f>Master!AF43</f>
        <v>MALAYSIA</v>
      </c>
      <c r="C41" s="151" t="str">
        <f>Master!AG43</f>
        <v>MY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f t="shared" si="0"/>
        <v>0</v>
      </c>
      <c r="Q41" s="152" t="str">
        <f>Master!AF43</f>
        <v>MALAYSIA</v>
      </c>
    </row>
    <row r="42" spans="2:17" ht="15.75" thickBot="1" x14ac:dyDescent="0.3">
      <c r="B42" s="152" t="str">
        <f>Master!AF44</f>
        <v>NAMIBIA</v>
      </c>
      <c r="C42" s="151" t="str">
        <f>Master!AG44</f>
        <v>WA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f t="shared" si="0"/>
        <v>0</v>
      </c>
      <c r="Q42" s="152" t="str">
        <f>Master!AF44</f>
        <v>NAMIBIA</v>
      </c>
    </row>
    <row r="43" spans="2:17" ht="15.75" thickBot="1" x14ac:dyDescent="0.3">
      <c r="B43" s="152" t="str">
        <f>Master!AF45</f>
        <v>NEPAL</v>
      </c>
      <c r="C43" s="151" t="str">
        <f>Master!AG45</f>
        <v>NP</v>
      </c>
      <c r="D43" s="258">
        <v>0</v>
      </c>
      <c r="E43" s="258">
        <v>0</v>
      </c>
      <c r="F43" s="258">
        <v>0</v>
      </c>
      <c r="G43" s="258">
        <v>0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8">
        <v>0</v>
      </c>
      <c r="N43" s="258">
        <v>0</v>
      </c>
      <c r="O43" s="258">
        <v>0</v>
      </c>
      <c r="P43" s="258">
        <f t="shared" si="0"/>
        <v>0</v>
      </c>
      <c r="Q43" s="152" t="str">
        <f>Master!AF45</f>
        <v>NEPAL</v>
      </c>
    </row>
    <row r="44" spans="2:17" ht="15.75" thickBot="1" x14ac:dyDescent="0.3">
      <c r="B44" s="152" t="str">
        <f>Master!AF46</f>
        <v>NIGERIA</v>
      </c>
      <c r="C44" s="151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0</v>
      </c>
      <c r="Q44" s="152" t="str">
        <f>Master!AF46</f>
        <v>NIGERIA</v>
      </c>
    </row>
    <row r="45" spans="2:17" ht="15.75" thickBot="1" x14ac:dyDescent="0.3">
      <c r="B45" s="152" t="str">
        <f>Master!AF47</f>
        <v>PAKISTAN</v>
      </c>
      <c r="C45" s="151" t="str">
        <f>Master!AG47</f>
        <v>PK</v>
      </c>
      <c r="D45" s="258">
        <v>0</v>
      </c>
      <c r="E45" s="258">
        <v>0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f t="shared" si="0"/>
        <v>0</v>
      </c>
      <c r="Q45" s="152" t="str">
        <f>Master!AF47</f>
        <v>PAKISTAN</v>
      </c>
    </row>
    <row r="46" spans="2:17" ht="15.75" thickBot="1" x14ac:dyDescent="0.3">
      <c r="B46" s="152" t="str">
        <f>Master!AF48</f>
        <v>PITCAIRN ISLANDS</v>
      </c>
      <c r="C46" s="151" t="str">
        <f>Master!AG48</f>
        <v>PN</v>
      </c>
      <c r="D46" s="258">
        <v>0</v>
      </c>
      <c r="E46" s="258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f t="shared" si="0"/>
        <v>0</v>
      </c>
      <c r="Q46" s="152" t="str">
        <f>Master!AF48</f>
        <v>PITCAIRN ISLANDS</v>
      </c>
    </row>
    <row r="47" spans="2:17" ht="15.75" thickBot="1" x14ac:dyDescent="0.3">
      <c r="B47" s="152" t="str">
        <f>Master!AF49</f>
        <v>RWANDA</v>
      </c>
      <c r="C47" s="151" t="str">
        <f>Master!AG49</f>
        <v>RW</v>
      </c>
      <c r="D47" s="258">
        <v>0</v>
      </c>
      <c r="E47" s="258">
        <v>0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2</v>
      </c>
      <c r="P47" s="258">
        <f t="shared" si="0"/>
        <v>2</v>
      </c>
      <c r="Q47" s="152" t="str">
        <f>Master!AF49</f>
        <v>RWANDA</v>
      </c>
    </row>
    <row r="48" spans="2:17" ht="15.75" thickBot="1" x14ac:dyDescent="0.3">
      <c r="B48" s="152" t="str">
        <f>Master!AF50</f>
        <v>RUSSIA</v>
      </c>
      <c r="C48" s="151" t="str">
        <f>Master!AG50</f>
        <v>RS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f t="shared" si="0"/>
        <v>0</v>
      </c>
      <c r="Q48" s="152" t="str">
        <f>Master!AF50</f>
        <v>RUSSIA</v>
      </c>
    </row>
    <row r="49" spans="2:17" ht="15.75" thickBot="1" x14ac:dyDescent="0.3">
      <c r="B49" s="152" t="str">
        <f>Master!AF51</f>
        <v>SIERRA LEON</v>
      </c>
      <c r="C49" s="151" t="str">
        <f>Master!AG51</f>
        <v>SL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f t="shared" si="0"/>
        <v>0</v>
      </c>
      <c r="Q49" s="152" t="str">
        <f>Master!AF51</f>
        <v>SIERRA LEON</v>
      </c>
    </row>
    <row r="50" spans="2:17" ht="15.75" thickBot="1" x14ac:dyDescent="0.3">
      <c r="B50" s="152" t="str">
        <f>Master!AF52</f>
        <v>SOMALIA</v>
      </c>
      <c r="C50" s="151" t="str">
        <f>Master!AG52</f>
        <v>SO</v>
      </c>
      <c r="D50" s="258">
        <v>4</v>
      </c>
      <c r="E50" s="258">
        <v>11</v>
      </c>
      <c r="F50" s="258">
        <v>0</v>
      </c>
      <c r="G50" s="258">
        <v>1</v>
      </c>
      <c r="H50" s="258">
        <v>6</v>
      </c>
      <c r="I50" s="258">
        <v>5</v>
      </c>
      <c r="J50" s="258">
        <v>2</v>
      </c>
      <c r="K50" s="258">
        <v>0</v>
      </c>
      <c r="L50" s="258">
        <v>0</v>
      </c>
      <c r="M50" s="258">
        <v>8</v>
      </c>
      <c r="N50" s="258">
        <v>0</v>
      </c>
      <c r="O50" s="258">
        <v>0</v>
      </c>
      <c r="P50" s="258">
        <f t="shared" si="0"/>
        <v>37</v>
      </c>
      <c r="Q50" s="152" t="str">
        <f>Master!AF52</f>
        <v>SOMALIA</v>
      </c>
    </row>
    <row r="51" spans="2:17" ht="15.75" thickBot="1" x14ac:dyDescent="0.3">
      <c r="B51" s="152" t="str">
        <f>Master!AF53</f>
        <v>SPAIN</v>
      </c>
      <c r="C51" s="151" t="str">
        <f>Master!AG53</f>
        <v>ES</v>
      </c>
      <c r="D51" s="258">
        <v>0</v>
      </c>
      <c r="E51" s="258">
        <v>0</v>
      </c>
      <c r="F51" s="258">
        <v>2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f t="shared" si="0"/>
        <v>2</v>
      </c>
      <c r="Q51" s="152" t="str">
        <f>Master!AF53</f>
        <v>SPAIN</v>
      </c>
    </row>
    <row r="52" spans="2:17" ht="15.75" thickBot="1" x14ac:dyDescent="0.3">
      <c r="B52" s="152" t="str">
        <f>Master!AF54</f>
        <v>SOUTH SUDAN</v>
      </c>
      <c r="C52" s="151" t="str">
        <f>Master!AG54</f>
        <v>SS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f t="shared" si="0"/>
        <v>0</v>
      </c>
      <c r="Q52" s="152" t="str">
        <f>Master!AF54</f>
        <v>SOUTH SUDAN</v>
      </c>
    </row>
    <row r="53" spans="2:17" ht="15.75" thickBot="1" x14ac:dyDescent="0.3">
      <c r="B53" s="152" t="str">
        <f>Master!AF55</f>
        <v>SRI LANKA</v>
      </c>
      <c r="C53" s="151" t="str">
        <f>Master!AG55</f>
        <v>CE</v>
      </c>
      <c r="D53" s="258">
        <v>0</v>
      </c>
      <c r="E53" s="258">
        <v>0</v>
      </c>
      <c r="F53" s="258">
        <v>0</v>
      </c>
      <c r="G53" s="258">
        <v>0</v>
      </c>
      <c r="H53" s="258">
        <v>0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f t="shared" si="0"/>
        <v>0</v>
      </c>
      <c r="Q53" s="152" t="str">
        <f>Master!AF55</f>
        <v>SRI LANKA</v>
      </c>
    </row>
    <row r="54" spans="2:17" ht="15.75" thickBot="1" x14ac:dyDescent="0.3">
      <c r="B54" s="152" t="str">
        <f>Master!AF56</f>
        <v>SUDAN</v>
      </c>
      <c r="C54" s="151" t="str">
        <f>Master!AG56</f>
        <v>SU</v>
      </c>
      <c r="D54" s="258">
        <v>0</v>
      </c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0</v>
      </c>
      <c r="K54" s="258">
        <v>0</v>
      </c>
      <c r="L54" s="258">
        <v>0</v>
      </c>
      <c r="M54" s="258">
        <v>0</v>
      </c>
      <c r="N54" s="258">
        <v>0</v>
      </c>
      <c r="O54" s="258">
        <v>0</v>
      </c>
      <c r="P54" s="258">
        <f t="shared" si="0"/>
        <v>0</v>
      </c>
      <c r="Q54" s="152" t="str">
        <f>Master!AF56</f>
        <v>SUDAN</v>
      </c>
    </row>
    <row r="55" spans="2:17" ht="15.75" thickBot="1" x14ac:dyDescent="0.3">
      <c r="B55" s="152" t="str">
        <f>Master!AF57</f>
        <v>SYRIA</v>
      </c>
      <c r="C55" s="151" t="str">
        <f>Master!AG57</f>
        <v>SY</v>
      </c>
      <c r="D55" s="258">
        <v>1</v>
      </c>
      <c r="E55" s="258">
        <v>0</v>
      </c>
      <c r="F55" s="258">
        <v>11</v>
      </c>
      <c r="G55" s="258">
        <v>10</v>
      </c>
      <c r="H55" s="258">
        <v>5</v>
      </c>
      <c r="I55" s="258">
        <v>0</v>
      </c>
      <c r="J55" s="258">
        <v>0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f t="shared" si="0"/>
        <v>27</v>
      </c>
      <c r="Q55" s="152" t="str">
        <f>Master!AF57</f>
        <v>SYRIA</v>
      </c>
    </row>
    <row r="56" spans="2:17" ht="15.75" thickBot="1" x14ac:dyDescent="0.3">
      <c r="B56" s="152" t="str">
        <f>Master!AF58</f>
        <v>TAJIKISTAN</v>
      </c>
      <c r="C56" s="151" t="str">
        <f>Master!AG58</f>
        <v>TI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f t="shared" si="0"/>
        <v>0</v>
      </c>
      <c r="Q56" s="152" t="str">
        <f>Master!AF58</f>
        <v>TAJIKISTAN</v>
      </c>
    </row>
    <row r="57" spans="2:17" ht="15.75" thickBot="1" x14ac:dyDescent="0.3">
      <c r="B57" s="152" t="str">
        <f>Master!AF59</f>
        <v>TANZANIA</v>
      </c>
      <c r="C57" s="151" t="str">
        <f>Master!AG59</f>
        <v>TZ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f t="shared" si="0"/>
        <v>0</v>
      </c>
      <c r="Q57" s="152" t="str">
        <f>Master!AF59</f>
        <v>TANZANIA</v>
      </c>
    </row>
    <row r="58" spans="2:17" ht="15.75" thickBot="1" x14ac:dyDescent="0.3">
      <c r="B58" s="152" t="str">
        <f>Master!AF60</f>
        <v>THAILAND</v>
      </c>
      <c r="C58" s="151" t="str">
        <f>Master!AG60</f>
        <v>TH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f t="shared" si="0"/>
        <v>0</v>
      </c>
      <c r="Q58" s="152" t="str">
        <f>Master!AF60</f>
        <v>THAILAND</v>
      </c>
    </row>
    <row r="59" spans="2:17" ht="15.75" thickBot="1" x14ac:dyDescent="0.3">
      <c r="B59" s="152" t="str">
        <f>Master!AF61</f>
        <v>UGANDA</v>
      </c>
      <c r="C59" s="151" t="str">
        <f>Master!AG61</f>
        <v>UG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258">
        <v>0</v>
      </c>
      <c r="K59" s="258">
        <v>0</v>
      </c>
      <c r="L59" s="258">
        <v>0</v>
      </c>
      <c r="M59" s="258">
        <v>0</v>
      </c>
      <c r="N59" s="258">
        <v>0</v>
      </c>
      <c r="O59" s="258">
        <v>0</v>
      </c>
      <c r="P59" s="258">
        <f t="shared" si="0"/>
        <v>0</v>
      </c>
      <c r="Q59" s="152" t="str">
        <f>Master!AF61</f>
        <v>UGANDA</v>
      </c>
    </row>
    <row r="60" spans="2:17" ht="15.75" thickBot="1" x14ac:dyDescent="0.3">
      <c r="B60" s="152" t="str">
        <f>Master!AF62</f>
        <v>UKRAINE</v>
      </c>
      <c r="C60" s="151" t="str">
        <f>Master!AG62</f>
        <v>UP</v>
      </c>
      <c r="D60" s="258">
        <v>2</v>
      </c>
      <c r="E60" s="258">
        <v>5</v>
      </c>
      <c r="F60" s="258">
        <v>0</v>
      </c>
      <c r="G60" s="258">
        <v>0</v>
      </c>
      <c r="H60" s="258">
        <v>2</v>
      </c>
      <c r="I60" s="258">
        <v>0</v>
      </c>
      <c r="J60" s="258">
        <v>2</v>
      </c>
      <c r="K60" s="258">
        <v>0</v>
      </c>
      <c r="L60" s="258">
        <v>0</v>
      </c>
      <c r="M60" s="258">
        <v>0</v>
      </c>
      <c r="N60" s="258">
        <v>0</v>
      </c>
      <c r="O60" s="258">
        <v>4</v>
      </c>
      <c r="P60" s="258">
        <f t="shared" si="0"/>
        <v>15</v>
      </c>
      <c r="Q60" s="152" t="str">
        <f>Master!AF62</f>
        <v>UKRAINE</v>
      </c>
    </row>
    <row r="61" spans="2:17" ht="15.75" thickBot="1" x14ac:dyDescent="0.3">
      <c r="B61" s="152" t="str">
        <f>Master!AF63</f>
        <v>UZBEKISTAN</v>
      </c>
      <c r="C61" s="151" t="str">
        <f>Master!AG63</f>
        <v>UZ</v>
      </c>
      <c r="D61" s="258">
        <v>0</v>
      </c>
      <c r="E61" s="258">
        <v>0</v>
      </c>
      <c r="F61" s="258">
        <v>0</v>
      </c>
      <c r="G61" s="258">
        <v>0</v>
      </c>
      <c r="H61" s="258">
        <v>0</v>
      </c>
      <c r="I61" s="258">
        <v>0</v>
      </c>
      <c r="J61" s="258">
        <v>0</v>
      </c>
      <c r="K61" s="258">
        <v>0</v>
      </c>
      <c r="L61" s="258">
        <v>0</v>
      </c>
      <c r="M61" s="258">
        <v>0</v>
      </c>
      <c r="N61" s="258">
        <v>0</v>
      </c>
      <c r="O61" s="258">
        <v>0</v>
      </c>
      <c r="P61" s="258">
        <f t="shared" si="0"/>
        <v>0</v>
      </c>
      <c r="Q61" s="152" t="str">
        <f>Master!AF63</f>
        <v>UZBEKISTAN</v>
      </c>
    </row>
    <row r="62" spans="2:17" ht="15.75" thickBot="1" x14ac:dyDescent="0.3">
      <c r="B62" s="152" t="str">
        <f>Master!AF64</f>
        <v>VIETNAM</v>
      </c>
      <c r="C62" s="151" t="str">
        <f>Master!AG64</f>
        <v>VM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258">
        <v>0</v>
      </c>
      <c r="M62" s="258">
        <v>0</v>
      </c>
      <c r="N62" s="258">
        <v>0</v>
      </c>
      <c r="O62" s="258">
        <v>0</v>
      </c>
      <c r="P62" s="258">
        <f t="shared" si="0"/>
        <v>0</v>
      </c>
      <c r="Q62" s="152" t="str">
        <f>Master!AF64</f>
        <v>VIETNAM</v>
      </c>
    </row>
    <row r="63" spans="2:17" ht="15.75" thickBot="1" x14ac:dyDescent="0.3">
      <c r="B63" s="152" t="str">
        <f>Master!AF65</f>
        <v>ZAMBIA</v>
      </c>
      <c r="C63" s="151" t="str">
        <f>Master!AG65</f>
        <v>ZA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258">
        <v>0</v>
      </c>
      <c r="P63" s="258">
        <f t="shared" si="0"/>
        <v>0</v>
      </c>
      <c r="Q63" s="152" t="str">
        <f>Master!AF65</f>
        <v>ZAMBIA</v>
      </c>
    </row>
    <row r="64" spans="2:17" ht="13.5" customHeight="1" thickBot="1" x14ac:dyDescent="0.3">
      <c r="B64" s="152"/>
      <c r="C64" s="151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>
        <f>SUM(D64:O64)</f>
        <v>0</v>
      </c>
      <c r="Q64" s="152"/>
    </row>
    <row r="65" spans="2:17" ht="15.75" thickBot="1" x14ac:dyDescent="0.3">
      <c r="B65" s="354" t="s">
        <v>53</v>
      </c>
      <c r="C65" s="355"/>
      <c r="D65" s="249">
        <f>SUM(D5:D64)</f>
        <v>47</v>
      </c>
      <c r="E65" s="249">
        <f>SUM(E5:E64)</f>
        <v>81</v>
      </c>
      <c r="F65" s="249">
        <f>SUM(F5:F64)</f>
        <v>83</v>
      </c>
      <c r="G65" s="249">
        <v>35</v>
      </c>
      <c r="H65" s="249">
        <v>50</v>
      </c>
      <c r="I65" s="249">
        <v>40</v>
      </c>
      <c r="J65" s="249">
        <v>41</v>
      </c>
      <c r="K65" s="249">
        <v>87</v>
      </c>
      <c r="L65" s="249">
        <v>22</v>
      </c>
      <c r="M65" s="249">
        <v>12</v>
      </c>
      <c r="N65" s="249">
        <v>9</v>
      </c>
      <c r="O65" s="249">
        <v>26</v>
      </c>
      <c r="P65" s="249">
        <f>SUM(D65:O65)</f>
        <v>533</v>
      </c>
      <c r="Q65" s="240" t="s">
        <v>53</v>
      </c>
    </row>
    <row r="66" spans="2:17" ht="15.75" thickBot="1" x14ac:dyDescent="0.3"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</row>
    <row r="67" spans="2:17" ht="15.75" thickBot="1" x14ac:dyDescent="0.3">
      <c r="B67" s="237" t="s">
        <v>1</v>
      </c>
      <c r="C67" s="255" t="s">
        <v>8</v>
      </c>
      <c r="D67" s="255"/>
      <c r="E67" s="255"/>
      <c r="F67" s="255"/>
      <c r="G67" s="358"/>
      <c r="H67" s="255"/>
      <c r="I67" s="255"/>
      <c r="J67" s="255"/>
      <c r="K67" s="358"/>
      <c r="L67" s="255"/>
      <c r="M67" s="255"/>
      <c r="N67" s="358"/>
      <c r="O67" s="255"/>
      <c r="P67" s="255"/>
      <c r="Q67" s="256"/>
    </row>
    <row r="68" spans="2:17" ht="15.75" thickBot="1" x14ac:dyDescent="0.3">
      <c r="B68" s="348"/>
      <c r="C68" s="349"/>
      <c r="D68" s="357" t="s">
        <v>19</v>
      </c>
      <c r="E68" s="357" t="s">
        <v>20</v>
      </c>
      <c r="F68" s="357" t="s">
        <v>21</v>
      </c>
      <c r="G68" s="357" t="s">
        <v>22</v>
      </c>
      <c r="H68" s="357" t="s">
        <v>23</v>
      </c>
      <c r="I68" s="357" t="s">
        <v>24</v>
      </c>
      <c r="J68" s="357" t="s">
        <v>25</v>
      </c>
      <c r="K68" s="357" t="s">
        <v>26</v>
      </c>
      <c r="L68" s="357" t="s">
        <v>27</v>
      </c>
      <c r="M68" s="357" t="s">
        <v>28</v>
      </c>
      <c r="N68" s="357" t="s">
        <v>29</v>
      </c>
      <c r="O68" s="357" t="s">
        <v>30</v>
      </c>
      <c r="P68" s="356" t="s">
        <v>40</v>
      </c>
      <c r="Q68" s="352"/>
    </row>
    <row r="69" spans="2:17" ht="15.75" thickBot="1" x14ac:dyDescent="0.3">
      <c r="B69" s="350"/>
      <c r="C69" s="351"/>
      <c r="D69" s="151">
        <v>10</v>
      </c>
      <c r="E69" s="254">
        <v>11</v>
      </c>
      <c r="F69" s="254">
        <v>12</v>
      </c>
      <c r="G69" s="254">
        <v>1</v>
      </c>
      <c r="H69" s="254">
        <v>2</v>
      </c>
      <c r="I69" s="254">
        <v>3</v>
      </c>
      <c r="J69" s="254">
        <v>4</v>
      </c>
      <c r="K69" s="254">
        <v>5</v>
      </c>
      <c r="L69" s="254">
        <v>6</v>
      </c>
      <c r="M69" s="254">
        <v>7</v>
      </c>
      <c r="N69" s="254">
        <v>8</v>
      </c>
      <c r="O69" s="254">
        <v>9</v>
      </c>
      <c r="P69" s="357"/>
      <c r="Q69" s="353"/>
    </row>
    <row r="70" spans="2:17" ht="15.75" thickBot="1" x14ac:dyDescent="0.3">
      <c r="B70" s="152" t="str">
        <f>Master!AF7</f>
        <v>AFGHANISTAN</v>
      </c>
      <c r="C70" s="151" t="str">
        <f>Master!AG7</f>
        <v>AF</v>
      </c>
      <c r="D70" s="258">
        <v>0</v>
      </c>
      <c r="E70" s="258">
        <v>0</v>
      </c>
      <c r="F70" s="258">
        <v>0</v>
      </c>
      <c r="G70" s="258">
        <v>3</v>
      </c>
      <c r="H70" s="258">
        <v>0</v>
      </c>
      <c r="I70" s="258">
        <v>0</v>
      </c>
      <c r="J70" s="258">
        <v>0</v>
      </c>
      <c r="K70" s="258">
        <v>0</v>
      </c>
      <c r="L70" s="258">
        <v>0</v>
      </c>
      <c r="M70" s="258">
        <v>0</v>
      </c>
      <c r="N70" s="258">
        <v>0</v>
      </c>
      <c r="O70" s="258">
        <v>0</v>
      </c>
      <c r="P70" s="258">
        <f>SUM(D70:O70)</f>
        <v>3</v>
      </c>
      <c r="Q70" s="152" t="str">
        <f>Master!AF7</f>
        <v>AFGHANISTAN</v>
      </c>
    </row>
    <row r="71" spans="2:17" ht="15.75" thickBot="1" x14ac:dyDescent="0.3">
      <c r="B71" s="152" t="str">
        <f>Master!AF8</f>
        <v>ARMENIA</v>
      </c>
      <c r="C71" s="151" t="str">
        <f>Master!AG8</f>
        <v>AM</v>
      </c>
      <c r="D71" s="258">
        <v>0</v>
      </c>
      <c r="E71" s="258">
        <v>0</v>
      </c>
      <c r="F71" s="258">
        <v>0</v>
      </c>
      <c r="G71" s="258">
        <v>0</v>
      </c>
      <c r="H71" s="258">
        <v>0</v>
      </c>
      <c r="I71" s="258">
        <v>0</v>
      </c>
      <c r="J71" s="258">
        <v>0</v>
      </c>
      <c r="K71" s="258">
        <v>0</v>
      </c>
      <c r="L71" s="258">
        <v>0</v>
      </c>
      <c r="M71" s="258">
        <v>0</v>
      </c>
      <c r="N71" s="258">
        <v>0</v>
      </c>
      <c r="O71" s="258">
        <v>0</v>
      </c>
      <c r="P71" s="258">
        <f t="shared" ref="P71:P128" si="1">SUM(D71:O71)</f>
        <v>0</v>
      </c>
      <c r="Q71" s="152" t="str">
        <f>Master!AF8</f>
        <v>ARMENIA</v>
      </c>
    </row>
    <row r="72" spans="2:17" ht="15.75" thickBot="1" x14ac:dyDescent="0.3">
      <c r="B72" s="152" t="s">
        <v>780</v>
      </c>
      <c r="C72" s="151" t="s">
        <v>333</v>
      </c>
      <c r="D72" s="258">
        <v>0</v>
      </c>
      <c r="E72" s="258">
        <v>0</v>
      </c>
      <c r="F72" s="258">
        <v>0</v>
      </c>
      <c r="G72" s="258">
        <v>0</v>
      </c>
      <c r="H72" s="258">
        <v>0</v>
      </c>
      <c r="I72" s="258">
        <v>0</v>
      </c>
      <c r="J72" s="258">
        <v>0</v>
      </c>
      <c r="K72" s="258">
        <v>0</v>
      </c>
      <c r="L72" s="258">
        <v>0</v>
      </c>
      <c r="M72" s="258">
        <v>0</v>
      </c>
      <c r="N72" s="258">
        <v>0</v>
      </c>
      <c r="O72" s="258">
        <v>0</v>
      </c>
      <c r="P72" s="258">
        <f t="shared" si="1"/>
        <v>0</v>
      </c>
      <c r="Q72" s="152" t="s">
        <v>780</v>
      </c>
    </row>
    <row r="73" spans="2:17" ht="15.75" thickBot="1" x14ac:dyDescent="0.3">
      <c r="B73" s="152" t="str">
        <f>Master!AF10</f>
        <v>BELARUS</v>
      </c>
      <c r="C73" s="151" t="str">
        <f>Master!AG10</f>
        <v>BO</v>
      </c>
      <c r="D73" s="258">
        <v>0</v>
      </c>
      <c r="E73" s="258">
        <v>0</v>
      </c>
      <c r="F73" s="258">
        <v>0</v>
      </c>
      <c r="G73" s="258">
        <v>0</v>
      </c>
      <c r="H73" s="258">
        <v>0</v>
      </c>
      <c r="I73" s="258">
        <v>0</v>
      </c>
      <c r="J73" s="258">
        <v>0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f t="shared" si="1"/>
        <v>0</v>
      </c>
      <c r="Q73" s="152" t="str">
        <f>Master!AF10</f>
        <v>BELARUS</v>
      </c>
    </row>
    <row r="74" spans="2:17" ht="15.75" thickBot="1" x14ac:dyDescent="0.3">
      <c r="B74" s="152" t="str">
        <f>Master!AF11</f>
        <v>BURMA</v>
      </c>
      <c r="C74" s="151" t="str">
        <f>Master!AG11</f>
        <v>BM</v>
      </c>
      <c r="D74" s="258">
        <v>0</v>
      </c>
      <c r="E74" s="258">
        <v>6</v>
      </c>
      <c r="F74" s="258">
        <v>0</v>
      </c>
      <c r="G74" s="258">
        <v>0</v>
      </c>
      <c r="H74" s="258">
        <v>0</v>
      </c>
      <c r="I74" s="258">
        <v>0</v>
      </c>
      <c r="J74" s="258">
        <v>0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f t="shared" si="1"/>
        <v>6</v>
      </c>
      <c r="Q74" s="152" t="str">
        <f>Master!AF11</f>
        <v>BURMA</v>
      </c>
    </row>
    <row r="75" spans="2:17" ht="15.75" thickBot="1" x14ac:dyDescent="0.3">
      <c r="B75" s="152" t="str">
        <f>Master!AF12</f>
        <v>BHUTAN</v>
      </c>
      <c r="C75" s="151" t="str">
        <f>Master!AG12</f>
        <v>BT</v>
      </c>
      <c r="D75" s="258">
        <v>1</v>
      </c>
      <c r="E75" s="258">
        <v>4</v>
      </c>
      <c r="F75" s="258">
        <v>4</v>
      </c>
      <c r="G75" s="258">
        <v>0</v>
      </c>
      <c r="H75" s="258">
        <v>0</v>
      </c>
      <c r="I75" s="258">
        <v>0</v>
      </c>
      <c r="J75" s="258">
        <v>0</v>
      </c>
      <c r="K75" s="258">
        <v>0</v>
      </c>
      <c r="L75" s="258">
        <v>1</v>
      </c>
      <c r="M75" s="258">
        <v>0</v>
      </c>
      <c r="N75" s="258">
        <v>0</v>
      </c>
      <c r="O75" s="258">
        <v>5</v>
      </c>
      <c r="P75" s="258">
        <f t="shared" si="1"/>
        <v>15</v>
      </c>
      <c r="Q75" s="152" t="str">
        <f>Master!AF12</f>
        <v>BHUTAN</v>
      </c>
    </row>
    <row r="76" spans="2:17" ht="15.75" thickBot="1" x14ac:dyDescent="0.3">
      <c r="B76" s="152" t="s">
        <v>779</v>
      </c>
      <c r="C76" s="151" t="s">
        <v>287</v>
      </c>
      <c r="D76" s="258">
        <v>0</v>
      </c>
      <c r="E76" s="258">
        <v>0</v>
      </c>
      <c r="F76" s="258">
        <v>0</v>
      </c>
      <c r="G76" s="258">
        <v>0</v>
      </c>
      <c r="H76" s="258">
        <v>0</v>
      </c>
      <c r="I76" s="258">
        <v>0</v>
      </c>
      <c r="J76" s="258">
        <v>0</v>
      </c>
      <c r="K76" s="258">
        <v>0</v>
      </c>
      <c r="L76" s="258">
        <v>0</v>
      </c>
      <c r="M76" s="258">
        <v>0</v>
      </c>
      <c r="N76" s="258">
        <v>0</v>
      </c>
      <c r="O76" s="258">
        <v>0</v>
      </c>
      <c r="P76" s="258">
        <f t="shared" si="1"/>
        <v>0</v>
      </c>
      <c r="Q76" s="152" t="s">
        <v>779</v>
      </c>
    </row>
    <row r="77" spans="2:17" ht="15.75" thickBot="1" x14ac:dyDescent="0.3">
      <c r="B77" s="152" t="str">
        <f>Master!AF14</f>
        <v>BURUNDI</v>
      </c>
      <c r="C77" s="151" t="str">
        <f>Master!AG14</f>
        <v>BY</v>
      </c>
      <c r="D77" s="258">
        <v>0</v>
      </c>
      <c r="E77" s="258">
        <v>0</v>
      </c>
      <c r="F77" s="258">
        <v>0</v>
      </c>
      <c r="G77" s="258">
        <v>0</v>
      </c>
      <c r="H77" s="258">
        <v>0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8">
        <v>0</v>
      </c>
      <c r="O77" s="258">
        <v>0</v>
      </c>
      <c r="P77" s="258">
        <f t="shared" si="1"/>
        <v>0</v>
      </c>
      <c r="Q77" s="152" t="str">
        <f>Master!AF14</f>
        <v>BURUNDI</v>
      </c>
    </row>
    <row r="78" spans="2:17" ht="15.75" thickBot="1" x14ac:dyDescent="0.3">
      <c r="B78" s="152" t="str">
        <f>Master!AF15</f>
        <v>CAMEROUN</v>
      </c>
      <c r="C78" s="151" t="str">
        <f>Master!AG15</f>
        <v>CM</v>
      </c>
      <c r="D78" s="258">
        <v>0</v>
      </c>
      <c r="E78" s="258">
        <v>0</v>
      </c>
      <c r="F78" s="258">
        <v>0</v>
      </c>
      <c r="G78" s="258">
        <v>0</v>
      </c>
      <c r="H78" s="258">
        <v>0</v>
      </c>
      <c r="I78" s="258">
        <v>0</v>
      </c>
      <c r="J78" s="258">
        <v>0</v>
      </c>
      <c r="K78" s="258">
        <v>0</v>
      </c>
      <c r="L78" s="258">
        <v>0</v>
      </c>
      <c r="M78" s="258">
        <v>0</v>
      </c>
      <c r="N78" s="258">
        <v>0</v>
      </c>
      <c r="O78" s="258">
        <v>0</v>
      </c>
      <c r="P78" s="258">
        <f t="shared" si="1"/>
        <v>0</v>
      </c>
      <c r="Q78" s="152" t="str">
        <f>Master!AF15</f>
        <v>CAMEROUN</v>
      </c>
    </row>
    <row r="79" spans="2:17" ht="15.75" thickBot="1" x14ac:dyDescent="0.3">
      <c r="B79" s="152" t="str">
        <f>Master!AF16</f>
        <v>CENTRAL AFR REP</v>
      </c>
      <c r="C79" s="151" t="str">
        <f>Master!AG16</f>
        <v>CT</v>
      </c>
      <c r="D79" s="258">
        <v>0</v>
      </c>
      <c r="E79" s="258">
        <v>0</v>
      </c>
      <c r="F79" s="258">
        <v>0</v>
      </c>
      <c r="G79" s="258">
        <v>0</v>
      </c>
      <c r="H79" s="258">
        <v>0</v>
      </c>
      <c r="I79" s="258">
        <v>0</v>
      </c>
      <c r="J79" s="258">
        <v>0</v>
      </c>
      <c r="K79" s="258">
        <v>0</v>
      </c>
      <c r="L79" s="258">
        <v>0</v>
      </c>
      <c r="M79" s="258">
        <v>0</v>
      </c>
      <c r="N79" s="258">
        <v>0</v>
      </c>
      <c r="O79" s="258">
        <v>0</v>
      </c>
      <c r="P79" s="258">
        <f t="shared" si="1"/>
        <v>0</v>
      </c>
      <c r="Q79" s="152" t="str">
        <f>Master!AF16</f>
        <v>CENTRAL AFR REP</v>
      </c>
    </row>
    <row r="80" spans="2:17" ht="15.75" thickBot="1" x14ac:dyDescent="0.3">
      <c r="B80" s="152" t="str">
        <f>Master!AF17</f>
        <v>CHINA</v>
      </c>
      <c r="C80" s="151" t="str">
        <f>Master!AG17</f>
        <v>CH</v>
      </c>
      <c r="D80" s="258">
        <v>0</v>
      </c>
      <c r="E80" s="258">
        <v>0</v>
      </c>
      <c r="F80" s="258">
        <v>0</v>
      </c>
      <c r="G80" s="258">
        <v>0</v>
      </c>
      <c r="H80" s="258">
        <v>0</v>
      </c>
      <c r="I80" s="258">
        <v>0</v>
      </c>
      <c r="J80" s="258">
        <v>0</v>
      </c>
      <c r="K80" s="258">
        <v>0</v>
      </c>
      <c r="L80" s="258">
        <v>0</v>
      </c>
      <c r="M80" s="258">
        <v>0</v>
      </c>
      <c r="N80" s="258">
        <v>0</v>
      </c>
      <c r="O80" s="258">
        <v>0</v>
      </c>
      <c r="P80" s="258">
        <f t="shared" si="1"/>
        <v>0</v>
      </c>
      <c r="Q80" s="152" t="str">
        <f>Master!AF17</f>
        <v>CHINA</v>
      </c>
    </row>
    <row r="81" spans="2:17" ht="15.75" thickBot="1" x14ac:dyDescent="0.3">
      <c r="B81" s="152" t="str">
        <f>Master!AF18</f>
        <v>DEM REP OF CONGO</v>
      </c>
      <c r="C81" s="151" t="str">
        <f>Master!AG18</f>
        <v>CG</v>
      </c>
      <c r="D81" s="258">
        <v>6</v>
      </c>
      <c r="E81" s="258">
        <v>0</v>
      </c>
      <c r="F81" s="258">
        <v>0</v>
      </c>
      <c r="G81" s="258">
        <v>7</v>
      </c>
      <c r="H81" s="258">
        <v>0</v>
      </c>
      <c r="I81" s="258">
        <v>0</v>
      </c>
      <c r="J81" s="258">
        <v>10</v>
      </c>
      <c r="K81" s="258">
        <v>3</v>
      </c>
      <c r="L81" s="258">
        <v>7</v>
      </c>
      <c r="M81" s="258">
        <v>0</v>
      </c>
      <c r="N81" s="258">
        <v>0</v>
      </c>
      <c r="O81" s="258">
        <v>7</v>
      </c>
      <c r="P81" s="258">
        <f t="shared" si="1"/>
        <v>40</v>
      </c>
      <c r="Q81" s="152" t="str">
        <f>Master!AF18</f>
        <v>DEM REP OF CONGO</v>
      </c>
    </row>
    <row r="82" spans="2:17" ht="15.75" thickBot="1" x14ac:dyDescent="0.3">
      <c r="B82" s="152" t="str">
        <f>Master!AF19</f>
        <v>COLUMBIA</v>
      </c>
      <c r="C82" s="151" t="str">
        <f>Master!AG19</f>
        <v>CO</v>
      </c>
      <c r="D82" s="258">
        <v>0</v>
      </c>
      <c r="E82" s="258">
        <v>0</v>
      </c>
      <c r="F82" s="258">
        <v>0</v>
      </c>
      <c r="G82" s="258">
        <v>0</v>
      </c>
      <c r="H82" s="258">
        <v>0</v>
      </c>
      <c r="I82" s="258">
        <v>0</v>
      </c>
      <c r="J82" s="258">
        <v>0</v>
      </c>
      <c r="K82" s="258">
        <v>0</v>
      </c>
      <c r="L82" s="258">
        <v>0</v>
      </c>
      <c r="M82" s="258">
        <v>0</v>
      </c>
      <c r="N82" s="258">
        <v>0</v>
      </c>
      <c r="O82" s="258">
        <v>0</v>
      </c>
      <c r="P82" s="258">
        <f t="shared" si="1"/>
        <v>0</v>
      </c>
      <c r="Q82" s="152" t="str">
        <f>Master!AF19</f>
        <v>COLUMBIA</v>
      </c>
    </row>
    <row r="83" spans="2:17" ht="15.75" thickBot="1" x14ac:dyDescent="0.3">
      <c r="B83" s="152" t="str">
        <f>Master!AF20</f>
        <v>CONGO</v>
      </c>
      <c r="C83" s="151" t="str">
        <f>Master!AG20</f>
        <v>CF</v>
      </c>
      <c r="D83" s="258">
        <v>0</v>
      </c>
      <c r="E83" s="258">
        <v>0</v>
      </c>
      <c r="F83" s="258">
        <v>0</v>
      </c>
      <c r="G83" s="258">
        <v>0</v>
      </c>
      <c r="H83" s="258">
        <v>0</v>
      </c>
      <c r="I83" s="258">
        <v>0</v>
      </c>
      <c r="J83" s="258">
        <v>0</v>
      </c>
      <c r="K83" s="258">
        <v>0</v>
      </c>
      <c r="L83" s="258">
        <v>0</v>
      </c>
      <c r="M83" s="258">
        <v>0</v>
      </c>
      <c r="N83" s="258">
        <v>0</v>
      </c>
      <c r="O83" s="258">
        <v>0</v>
      </c>
      <c r="P83" s="258">
        <f t="shared" si="1"/>
        <v>0</v>
      </c>
      <c r="Q83" s="152" t="str">
        <f>Master!AF20</f>
        <v>CONGO</v>
      </c>
    </row>
    <row r="84" spans="2:17" ht="15.75" thickBot="1" x14ac:dyDescent="0.3">
      <c r="B84" s="152" t="str">
        <f>Master!AF21</f>
        <v>CUBA</v>
      </c>
      <c r="C84" s="151" t="str">
        <f>Master!AG21</f>
        <v>CU</v>
      </c>
      <c r="D84" s="258">
        <v>0</v>
      </c>
      <c r="E84" s="258">
        <v>0</v>
      </c>
      <c r="F84" s="258">
        <v>0</v>
      </c>
      <c r="G84" s="258">
        <v>0</v>
      </c>
      <c r="H84" s="258">
        <v>0</v>
      </c>
      <c r="I84" s="258">
        <v>0</v>
      </c>
      <c r="J84" s="258">
        <v>0</v>
      </c>
      <c r="K84" s="258">
        <v>0</v>
      </c>
      <c r="L84" s="258">
        <v>0</v>
      </c>
      <c r="M84" s="258">
        <v>0</v>
      </c>
      <c r="N84" s="258">
        <v>0</v>
      </c>
      <c r="O84" s="258">
        <v>0</v>
      </c>
      <c r="P84" s="258">
        <f t="shared" si="1"/>
        <v>0</v>
      </c>
      <c r="Q84" s="152" t="str">
        <f>Master!AF21</f>
        <v>CUBA</v>
      </c>
    </row>
    <row r="85" spans="2:17" ht="15.75" thickBot="1" x14ac:dyDescent="0.3">
      <c r="B85" s="152" t="str">
        <f>Master!AF22</f>
        <v>CUBAN ENTRANT</v>
      </c>
      <c r="C85" s="151" t="str">
        <f>Master!AG22</f>
        <v>CUE</v>
      </c>
      <c r="D85" s="258">
        <v>0</v>
      </c>
      <c r="E85" s="258">
        <v>0</v>
      </c>
      <c r="F85" s="258">
        <v>0</v>
      </c>
      <c r="G85" s="258">
        <v>0</v>
      </c>
      <c r="H85" s="258">
        <v>0</v>
      </c>
      <c r="I85" s="258">
        <v>0</v>
      </c>
      <c r="J85" s="258">
        <v>0</v>
      </c>
      <c r="K85" s="258">
        <v>0</v>
      </c>
      <c r="L85" s="258">
        <v>0</v>
      </c>
      <c r="M85" s="258">
        <v>0</v>
      </c>
      <c r="N85" s="258">
        <v>0</v>
      </c>
      <c r="O85" s="258">
        <v>0</v>
      </c>
      <c r="P85" s="258">
        <f t="shared" si="1"/>
        <v>0</v>
      </c>
      <c r="Q85" s="152" t="str">
        <f>Master!AF22</f>
        <v>CUBAN ENTRANT</v>
      </c>
    </row>
    <row r="86" spans="2:17" ht="15.75" thickBot="1" x14ac:dyDescent="0.3">
      <c r="B86" s="152" t="str">
        <f>Master!AF23</f>
        <v>ECUADOR</v>
      </c>
      <c r="C86" s="151" t="str">
        <f>Master!AG23</f>
        <v>EC</v>
      </c>
      <c r="D86" s="258">
        <v>0</v>
      </c>
      <c r="E86" s="258">
        <v>0</v>
      </c>
      <c r="F86" s="258">
        <v>0</v>
      </c>
      <c r="G86" s="258">
        <v>0</v>
      </c>
      <c r="H86" s="258">
        <v>0</v>
      </c>
      <c r="I86" s="258">
        <v>0</v>
      </c>
      <c r="J86" s="258">
        <v>0</v>
      </c>
      <c r="K86" s="258">
        <v>0</v>
      </c>
      <c r="L86" s="258">
        <v>0</v>
      </c>
      <c r="M86" s="258">
        <v>0</v>
      </c>
      <c r="N86" s="258">
        <v>0</v>
      </c>
      <c r="O86" s="258">
        <v>0</v>
      </c>
      <c r="P86" s="258">
        <f t="shared" si="1"/>
        <v>0</v>
      </c>
      <c r="Q86" s="152" t="str">
        <f>Master!AF23</f>
        <v>ECUADOR</v>
      </c>
    </row>
    <row r="87" spans="2:17" ht="15.75" thickBot="1" x14ac:dyDescent="0.3">
      <c r="B87" s="152" t="str">
        <f>Master!AF24</f>
        <v>EGYPT</v>
      </c>
      <c r="C87" s="151" t="str">
        <f>Master!AG24</f>
        <v>EG</v>
      </c>
      <c r="D87" s="258">
        <v>0</v>
      </c>
      <c r="E87" s="258">
        <v>0</v>
      </c>
      <c r="F87" s="258">
        <v>0</v>
      </c>
      <c r="G87" s="258">
        <v>0</v>
      </c>
      <c r="H87" s="258">
        <v>0</v>
      </c>
      <c r="I87" s="258">
        <v>0</v>
      </c>
      <c r="J87" s="258">
        <v>0</v>
      </c>
      <c r="K87" s="258">
        <v>0</v>
      </c>
      <c r="L87" s="258">
        <v>0</v>
      </c>
      <c r="M87" s="258">
        <v>0</v>
      </c>
      <c r="N87" s="258">
        <v>0</v>
      </c>
      <c r="O87" s="258">
        <v>0</v>
      </c>
      <c r="P87" s="258">
        <f t="shared" si="1"/>
        <v>0</v>
      </c>
      <c r="Q87" s="152" t="str">
        <f>Master!AF24</f>
        <v>EGYPT</v>
      </c>
    </row>
    <row r="88" spans="2:17" ht="15.75" thickBot="1" x14ac:dyDescent="0.3">
      <c r="B88" s="152" t="str">
        <f>Master!AF25</f>
        <v>ERITREA</v>
      </c>
      <c r="C88" s="151" t="str">
        <f>Master!AG25</f>
        <v>ER</v>
      </c>
      <c r="D88" s="258">
        <v>0</v>
      </c>
      <c r="E88" s="258">
        <v>0</v>
      </c>
      <c r="F88" s="258">
        <v>0</v>
      </c>
      <c r="G88" s="258">
        <v>0</v>
      </c>
      <c r="H88" s="258">
        <v>0</v>
      </c>
      <c r="I88" s="258">
        <v>0</v>
      </c>
      <c r="J88" s="258">
        <v>0</v>
      </c>
      <c r="K88" s="258">
        <v>0</v>
      </c>
      <c r="L88" s="258">
        <v>0</v>
      </c>
      <c r="M88" s="258">
        <v>0</v>
      </c>
      <c r="N88" s="258">
        <v>0</v>
      </c>
      <c r="O88" s="258">
        <v>0</v>
      </c>
      <c r="P88" s="258">
        <f t="shared" si="1"/>
        <v>0</v>
      </c>
      <c r="Q88" s="152" t="str">
        <f>Master!AF25</f>
        <v>ERITREA</v>
      </c>
    </row>
    <row r="89" spans="2:17" ht="15.75" thickBot="1" x14ac:dyDescent="0.3">
      <c r="B89" s="152" t="str">
        <f>Master!AF26</f>
        <v>ETHIOPIA</v>
      </c>
      <c r="C89" s="151" t="str">
        <f>Master!AG26</f>
        <v>ET</v>
      </c>
      <c r="D89" s="258">
        <v>0</v>
      </c>
      <c r="E89" s="258">
        <v>0</v>
      </c>
      <c r="F89" s="258">
        <v>0</v>
      </c>
      <c r="G89" s="258">
        <v>0</v>
      </c>
      <c r="H89" s="258">
        <v>0</v>
      </c>
      <c r="I89" s="258">
        <v>0</v>
      </c>
      <c r="J89" s="258">
        <v>0</v>
      </c>
      <c r="K89" s="258">
        <v>0</v>
      </c>
      <c r="L89" s="258">
        <v>0</v>
      </c>
      <c r="M89" s="258">
        <v>0</v>
      </c>
      <c r="N89" s="258">
        <v>0</v>
      </c>
      <c r="O89" s="258">
        <v>0</v>
      </c>
      <c r="P89" s="258">
        <f t="shared" si="1"/>
        <v>0</v>
      </c>
      <c r="Q89" s="152" t="str">
        <f>Master!AF26</f>
        <v>ETHIOPIA</v>
      </c>
    </row>
    <row r="90" spans="2:17" ht="15.75" thickBot="1" x14ac:dyDescent="0.3">
      <c r="B90" s="152" t="str">
        <f>Master!AF27</f>
        <v>FRANCE</v>
      </c>
      <c r="C90" s="151" t="str">
        <f>Master!AG27</f>
        <v>FR</v>
      </c>
      <c r="D90" s="258">
        <v>0</v>
      </c>
      <c r="E90" s="258">
        <v>0</v>
      </c>
      <c r="F90" s="258">
        <v>0</v>
      </c>
      <c r="G90" s="258">
        <v>0</v>
      </c>
      <c r="H90" s="258">
        <v>0</v>
      </c>
      <c r="I90" s="258">
        <v>0</v>
      </c>
      <c r="J90" s="258">
        <v>0</v>
      </c>
      <c r="K90" s="258">
        <v>0</v>
      </c>
      <c r="L90" s="258">
        <v>0</v>
      </c>
      <c r="M90" s="258">
        <v>0</v>
      </c>
      <c r="N90" s="258">
        <v>0</v>
      </c>
      <c r="O90" s="258">
        <v>0</v>
      </c>
      <c r="P90" s="258">
        <f t="shared" si="1"/>
        <v>0</v>
      </c>
      <c r="Q90" s="152" t="str">
        <f>Master!AF27</f>
        <v>FRANCE</v>
      </c>
    </row>
    <row r="91" spans="2:17" ht="15.75" thickBot="1" x14ac:dyDescent="0.3">
      <c r="B91" s="152" t="str">
        <f>Master!AF28</f>
        <v>GUINEA</v>
      </c>
      <c r="C91" s="151" t="str">
        <f>Master!AG28</f>
        <v>GV</v>
      </c>
      <c r="D91" s="258">
        <v>0</v>
      </c>
      <c r="E91" s="258">
        <v>0</v>
      </c>
      <c r="F91" s="258">
        <v>0</v>
      </c>
      <c r="G91" s="258">
        <v>0</v>
      </c>
      <c r="H91" s="258">
        <v>0</v>
      </c>
      <c r="I91" s="258">
        <v>0</v>
      </c>
      <c r="J91" s="258">
        <v>0</v>
      </c>
      <c r="K91" s="258">
        <v>0</v>
      </c>
      <c r="L91" s="258">
        <v>0</v>
      </c>
      <c r="M91" s="258">
        <v>0</v>
      </c>
      <c r="N91" s="258">
        <v>0</v>
      </c>
      <c r="O91" s="258">
        <v>0</v>
      </c>
      <c r="P91" s="258">
        <f t="shared" si="1"/>
        <v>0</v>
      </c>
      <c r="Q91" s="152" t="str">
        <f>Master!AF28</f>
        <v>GUINEA</v>
      </c>
    </row>
    <row r="92" spans="2:17" ht="15.75" thickBot="1" x14ac:dyDescent="0.3">
      <c r="B92" s="152" t="str">
        <f>Master!AF29</f>
        <v>HAITI</v>
      </c>
      <c r="C92" s="151" t="str">
        <f>Master!AG29</f>
        <v>HA</v>
      </c>
      <c r="D92" s="258">
        <v>0</v>
      </c>
      <c r="E92" s="258">
        <v>0</v>
      </c>
      <c r="F92" s="258">
        <v>0</v>
      </c>
      <c r="G92" s="258">
        <v>0</v>
      </c>
      <c r="H92" s="258">
        <v>0</v>
      </c>
      <c r="I92" s="258">
        <v>0</v>
      </c>
      <c r="J92" s="258">
        <v>0</v>
      </c>
      <c r="K92" s="258">
        <v>0</v>
      </c>
      <c r="L92" s="258">
        <v>0</v>
      </c>
      <c r="M92" s="258">
        <v>0</v>
      </c>
      <c r="N92" s="258">
        <v>0</v>
      </c>
      <c r="O92" s="258">
        <v>0</v>
      </c>
      <c r="P92" s="258">
        <f t="shared" si="1"/>
        <v>0</v>
      </c>
      <c r="Q92" s="152" t="str">
        <f>Master!AF29</f>
        <v>HAITI</v>
      </c>
    </row>
    <row r="93" spans="2:17" ht="15.75" thickBot="1" x14ac:dyDescent="0.3">
      <c r="B93" s="152" t="str">
        <f>Master!AF30</f>
        <v>INDIA</v>
      </c>
      <c r="C93" s="151" t="str">
        <f>Master!AG30</f>
        <v>IN</v>
      </c>
      <c r="D93" s="258">
        <v>0</v>
      </c>
      <c r="E93" s="258">
        <v>0</v>
      </c>
      <c r="F93" s="258">
        <v>1</v>
      </c>
      <c r="G93" s="258">
        <v>0</v>
      </c>
      <c r="H93" s="258">
        <v>0</v>
      </c>
      <c r="I93" s="258">
        <v>0</v>
      </c>
      <c r="J93" s="258">
        <v>0</v>
      </c>
      <c r="K93" s="258">
        <v>0</v>
      </c>
      <c r="L93" s="258">
        <v>0</v>
      </c>
      <c r="M93" s="258">
        <v>0</v>
      </c>
      <c r="N93" s="258">
        <v>0</v>
      </c>
      <c r="O93" s="258">
        <v>0</v>
      </c>
      <c r="P93" s="258">
        <f t="shared" si="1"/>
        <v>1</v>
      </c>
      <c r="Q93" s="152" t="str">
        <f>Master!AF30</f>
        <v>INDIA</v>
      </c>
    </row>
    <row r="94" spans="2:17" ht="15.75" thickBot="1" x14ac:dyDescent="0.3">
      <c r="B94" s="152" t="str">
        <f>Master!AF31</f>
        <v>INDONESIA</v>
      </c>
      <c r="C94" s="151" t="str">
        <f>Master!AG31</f>
        <v>ID</v>
      </c>
      <c r="D94" s="258">
        <v>0</v>
      </c>
      <c r="E94" s="258">
        <v>0</v>
      </c>
      <c r="F94" s="258">
        <v>0</v>
      </c>
      <c r="G94" s="258">
        <v>0</v>
      </c>
      <c r="H94" s="258">
        <v>0</v>
      </c>
      <c r="I94" s="258">
        <v>0</v>
      </c>
      <c r="J94" s="258">
        <v>0</v>
      </c>
      <c r="K94" s="258">
        <v>0</v>
      </c>
      <c r="L94" s="258">
        <v>0</v>
      </c>
      <c r="M94" s="258">
        <v>0</v>
      </c>
      <c r="N94" s="258">
        <v>0</v>
      </c>
      <c r="O94" s="258">
        <v>0</v>
      </c>
      <c r="P94" s="258">
        <f t="shared" si="1"/>
        <v>0</v>
      </c>
      <c r="Q94" s="152" t="str">
        <f>Master!AF31</f>
        <v>INDONESIA</v>
      </c>
    </row>
    <row r="95" spans="2:17" ht="15.75" thickBot="1" x14ac:dyDescent="0.3">
      <c r="B95" s="152" t="str">
        <f>Master!AF32</f>
        <v>IRAN</v>
      </c>
      <c r="C95" s="151" t="str">
        <f>Master!AG32</f>
        <v>IR</v>
      </c>
      <c r="D95" s="258">
        <v>0</v>
      </c>
      <c r="E95" s="258">
        <v>0</v>
      </c>
      <c r="F95" s="258">
        <v>0</v>
      </c>
      <c r="G95" s="258">
        <v>0</v>
      </c>
      <c r="H95" s="258">
        <v>0</v>
      </c>
      <c r="I95" s="258">
        <v>0</v>
      </c>
      <c r="J95" s="258">
        <v>0</v>
      </c>
      <c r="K95" s="258">
        <v>0</v>
      </c>
      <c r="L95" s="258">
        <v>0</v>
      </c>
      <c r="M95" s="258">
        <v>0</v>
      </c>
      <c r="N95" s="258">
        <v>0</v>
      </c>
      <c r="O95" s="258">
        <v>0</v>
      </c>
      <c r="P95" s="258">
        <f t="shared" si="1"/>
        <v>0</v>
      </c>
      <c r="Q95" s="152" t="str">
        <f>Master!AF32</f>
        <v>IRAN</v>
      </c>
    </row>
    <row r="96" spans="2:17" ht="15.75" thickBot="1" x14ac:dyDescent="0.3">
      <c r="B96" s="152" t="str">
        <f>Master!AF33</f>
        <v>IRAQ</v>
      </c>
      <c r="C96" s="151" t="str">
        <f>Master!AG33</f>
        <v>IZ</v>
      </c>
      <c r="D96" s="258">
        <v>0</v>
      </c>
      <c r="E96" s="258">
        <v>0</v>
      </c>
      <c r="F96" s="258">
        <v>0</v>
      </c>
      <c r="G96" s="258">
        <v>0</v>
      </c>
      <c r="H96" s="258">
        <v>0</v>
      </c>
      <c r="I96" s="258">
        <v>0</v>
      </c>
      <c r="J96" s="258">
        <v>0</v>
      </c>
      <c r="K96" s="258">
        <v>0</v>
      </c>
      <c r="L96" s="258">
        <v>0</v>
      </c>
      <c r="M96" s="258">
        <v>0</v>
      </c>
      <c r="N96" s="258">
        <v>0</v>
      </c>
      <c r="O96" s="258">
        <v>0</v>
      </c>
      <c r="P96" s="258">
        <f t="shared" si="1"/>
        <v>0</v>
      </c>
      <c r="Q96" s="152" t="str">
        <f>Master!AF33</f>
        <v>IRAQ</v>
      </c>
    </row>
    <row r="97" spans="2:17" ht="15.75" thickBot="1" x14ac:dyDescent="0.3">
      <c r="B97" s="152" t="str">
        <f>Master!AF34</f>
        <v>IVORY COAST</v>
      </c>
      <c r="C97" s="151" t="str">
        <f>Master!AG34</f>
        <v>IV</v>
      </c>
      <c r="D97" s="258">
        <v>0</v>
      </c>
      <c r="E97" s="258">
        <v>0</v>
      </c>
      <c r="F97" s="258">
        <v>0</v>
      </c>
      <c r="G97" s="258">
        <v>0</v>
      </c>
      <c r="H97" s="258">
        <v>0</v>
      </c>
      <c r="I97" s="258">
        <v>0</v>
      </c>
      <c r="J97" s="258">
        <v>0</v>
      </c>
      <c r="K97" s="258">
        <v>0</v>
      </c>
      <c r="L97" s="258">
        <v>0</v>
      </c>
      <c r="M97" s="258">
        <v>0</v>
      </c>
      <c r="N97" s="258">
        <v>0</v>
      </c>
      <c r="O97" s="258">
        <v>0</v>
      </c>
      <c r="P97" s="258">
        <f t="shared" si="1"/>
        <v>0</v>
      </c>
      <c r="Q97" s="152" t="str">
        <f>Master!AF34</f>
        <v>IVORY COAST</v>
      </c>
    </row>
    <row r="98" spans="2:17" ht="15.75" thickBot="1" x14ac:dyDescent="0.3">
      <c r="B98" s="152" t="str">
        <f>Master!AF35</f>
        <v>JORDAN</v>
      </c>
      <c r="C98" s="151" t="str">
        <f>Master!AG35</f>
        <v>JO</v>
      </c>
      <c r="D98" s="258">
        <v>0</v>
      </c>
      <c r="E98" s="258">
        <v>0</v>
      </c>
      <c r="F98" s="258">
        <v>0</v>
      </c>
      <c r="G98" s="258">
        <v>0</v>
      </c>
      <c r="H98" s="258">
        <v>0</v>
      </c>
      <c r="I98" s="258">
        <v>0</v>
      </c>
      <c r="J98" s="258">
        <v>0</v>
      </c>
      <c r="K98" s="258">
        <v>0</v>
      </c>
      <c r="L98" s="258">
        <v>0</v>
      </c>
      <c r="M98" s="258">
        <v>0</v>
      </c>
      <c r="N98" s="258">
        <v>0</v>
      </c>
      <c r="O98" s="258">
        <v>0</v>
      </c>
      <c r="P98" s="258">
        <f t="shared" si="1"/>
        <v>0</v>
      </c>
      <c r="Q98" s="152" t="str">
        <f>Master!AF35</f>
        <v>JORDAN</v>
      </c>
    </row>
    <row r="99" spans="2:17" ht="15.75" thickBot="1" x14ac:dyDescent="0.3">
      <c r="B99" s="152" t="str">
        <f>Master!AF36</f>
        <v>KAZAKHSTAN</v>
      </c>
      <c r="C99" s="151" t="str">
        <f>Master!AG36</f>
        <v>KZ</v>
      </c>
      <c r="D99" s="258">
        <v>0</v>
      </c>
      <c r="E99" s="258">
        <v>0</v>
      </c>
      <c r="F99" s="258">
        <v>0</v>
      </c>
      <c r="G99" s="258">
        <v>0</v>
      </c>
      <c r="H99" s="258">
        <v>0</v>
      </c>
      <c r="I99" s="258">
        <v>0</v>
      </c>
      <c r="J99" s="258">
        <v>0</v>
      </c>
      <c r="K99" s="258">
        <v>0</v>
      </c>
      <c r="L99" s="258">
        <v>0</v>
      </c>
      <c r="M99" s="258">
        <v>0</v>
      </c>
      <c r="N99" s="258">
        <v>0</v>
      </c>
      <c r="O99" s="258">
        <v>0</v>
      </c>
      <c r="P99" s="258">
        <f t="shared" si="1"/>
        <v>0</v>
      </c>
      <c r="Q99" s="152" t="str">
        <f>Master!AF36</f>
        <v>KAZAKHSTAN</v>
      </c>
    </row>
    <row r="100" spans="2:17" ht="15.75" thickBot="1" x14ac:dyDescent="0.3">
      <c r="B100" s="152" t="str">
        <f>Master!AF37</f>
        <v>KENYA</v>
      </c>
      <c r="C100" s="151" t="str">
        <f>Master!AG37</f>
        <v>KE</v>
      </c>
      <c r="D100" s="258">
        <v>0</v>
      </c>
      <c r="E100" s="258">
        <v>0</v>
      </c>
      <c r="F100" s="258">
        <v>0</v>
      </c>
      <c r="G100" s="258">
        <v>0</v>
      </c>
      <c r="H100" s="258">
        <v>0</v>
      </c>
      <c r="I100" s="258">
        <v>0</v>
      </c>
      <c r="J100" s="258">
        <v>0</v>
      </c>
      <c r="K100" s="258">
        <v>0</v>
      </c>
      <c r="L100" s="258">
        <v>0</v>
      </c>
      <c r="M100" s="258">
        <v>0</v>
      </c>
      <c r="N100" s="258">
        <v>0</v>
      </c>
      <c r="O100" s="258">
        <v>0</v>
      </c>
      <c r="P100" s="258">
        <f t="shared" si="1"/>
        <v>0</v>
      </c>
      <c r="Q100" s="152" t="str">
        <f>Master!AF37</f>
        <v>KENYA</v>
      </c>
    </row>
    <row r="101" spans="2:17" ht="15.75" thickBot="1" x14ac:dyDescent="0.3">
      <c r="B101" s="152" t="str">
        <f>Master!AF38</f>
        <v>LEBANON</v>
      </c>
      <c r="C101" s="151" t="str">
        <f>Master!AG38</f>
        <v>LE</v>
      </c>
      <c r="D101" s="258">
        <v>0</v>
      </c>
      <c r="E101" s="258">
        <v>0</v>
      </c>
      <c r="F101" s="258">
        <v>0</v>
      </c>
      <c r="G101" s="258">
        <v>0</v>
      </c>
      <c r="H101" s="258">
        <v>0</v>
      </c>
      <c r="I101" s="258">
        <v>0</v>
      </c>
      <c r="J101" s="258">
        <v>0</v>
      </c>
      <c r="K101" s="258">
        <v>0</v>
      </c>
      <c r="L101" s="258">
        <v>0</v>
      </c>
      <c r="M101" s="258">
        <v>0</v>
      </c>
      <c r="N101" s="258">
        <v>0</v>
      </c>
      <c r="O101" s="258">
        <v>0</v>
      </c>
      <c r="P101" s="258">
        <f t="shared" si="1"/>
        <v>0</v>
      </c>
      <c r="Q101" s="152" t="str">
        <f>Master!AF38</f>
        <v>LEBANON</v>
      </c>
    </row>
    <row r="102" spans="2:17" ht="15.75" thickBot="1" x14ac:dyDescent="0.3">
      <c r="B102" s="152" t="str">
        <f>Master!AF39</f>
        <v>LIBERIA</v>
      </c>
      <c r="C102" s="151" t="str">
        <f>Master!AG39</f>
        <v>LI</v>
      </c>
      <c r="D102" s="258">
        <v>0</v>
      </c>
      <c r="E102" s="258">
        <v>0</v>
      </c>
      <c r="F102" s="258">
        <v>0</v>
      </c>
      <c r="G102" s="258">
        <v>0</v>
      </c>
      <c r="H102" s="258">
        <v>0</v>
      </c>
      <c r="I102" s="258">
        <v>0</v>
      </c>
      <c r="J102" s="258">
        <v>0</v>
      </c>
      <c r="K102" s="258">
        <v>0</v>
      </c>
      <c r="L102" s="258">
        <v>0</v>
      </c>
      <c r="M102" s="258">
        <v>0</v>
      </c>
      <c r="N102" s="258">
        <v>0</v>
      </c>
      <c r="O102" s="258">
        <v>0</v>
      </c>
      <c r="P102" s="258">
        <f t="shared" si="1"/>
        <v>0</v>
      </c>
      <c r="Q102" s="152" t="str">
        <f>Master!AF39</f>
        <v>LIBERIA</v>
      </c>
    </row>
    <row r="103" spans="2:17" ht="15.75" thickBot="1" x14ac:dyDescent="0.3">
      <c r="B103" s="152" t="str">
        <f>Master!AF40</f>
        <v>LIBYA</v>
      </c>
      <c r="C103" s="151" t="str">
        <f>Master!AG40</f>
        <v>LY</v>
      </c>
      <c r="D103" s="258">
        <v>0</v>
      </c>
      <c r="E103" s="258">
        <v>0</v>
      </c>
      <c r="F103" s="258">
        <v>0</v>
      </c>
      <c r="G103" s="258">
        <v>0</v>
      </c>
      <c r="H103" s="258">
        <v>0</v>
      </c>
      <c r="I103" s="258">
        <v>0</v>
      </c>
      <c r="J103" s="258">
        <v>0</v>
      </c>
      <c r="K103" s="258">
        <v>0</v>
      </c>
      <c r="L103" s="258">
        <v>0</v>
      </c>
      <c r="M103" s="258">
        <v>0</v>
      </c>
      <c r="N103" s="258">
        <v>0</v>
      </c>
      <c r="O103" s="258">
        <v>0</v>
      </c>
      <c r="P103" s="258">
        <f t="shared" si="1"/>
        <v>0</v>
      </c>
      <c r="Q103" s="152" t="str">
        <f>Master!AF40</f>
        <v>LIBYA</v>
      </c>
    </row>
    <row r="104" spans="2:17" ht="15.75" thickBot="1" x14ac:dyDescent="0.3">
      <c r="B104" s="152" t="str">
        <f>Master!AF41</f>
        <v>MOLDOVA</v>
      </c>
      <c r="C104" s="151" t="str">
        <f>Master!AG41</f>
        <v>MD</v>
      </c>
      <c r="D104" s="258">
        <v>0</v>
      </c>
      <c r="E104" s="258">
        <v>0</v>
      </c>
      <c r="F104" s="258">
        <v>0</v>
      </c>
      <c r="G104" s="258">
        <v>0</v>
      </c>
      <c r="H104" s="258">
        <v>0</v>
      </c>
      <c r="I104" s="258">
        <v>0</v>
      </c>
      <c r="J104" s="258">
        <v>0</v>
      </c>
      <c r="K104" s="258">
        <v>0</v>
      </c>
      <c r="L104" s="258">
        <v>0</v>
      </c>
      <c r="M104" s="258">
        <v>0</v>
      </c>
      <c r="N104" s="258">
        <v>0</v>
      </c>
      <c r="O104" s="258">
        <v>0</v>
      </c>
      <c r="P104" s="258">
        <f t="shared" si="1"/>
        <v>0</v>
      </c>
      <c r="Q104" s="152" t="str">
        <f>Master!AF41</f>
        <v>MOLDOVA</v>
      </c>
    </row>
    <row r="105" spans="2:17" ht="15.75" thickBot="1" x14ac:dyDescent="0.3">
      <c r="B105" s="152" t="str">
        <f>Master!AF42</f>
        <v>MALI</v>
      </c>
      <c r="C105" s="151" t="str">
        <f>Master!AG42</f>
        <v>ML</v>
      </c>
      <c r="D105" s="258">
        <v>0</v>
      </c>
      <c r="E105" s="258">
        <v>0</v>
      </c>
      <c r="F105" s="258">
        <v>0</v>
      </c>
      <c r="G105" s="258">
        <v>0</v>
      </c>
      <c r="H105" s="258">
        <v>0</v>
      </c>
      <c r="I105" s="258">
        <v>0</v>
      </c>
      <c r="J105" s="258">
        <v>0</v>
      </c>
      <c r="K105" s="258">
        <v>0</v>
      </c>
      <c r="L105" s="258">
        <v>0</v>
      </c>
      <c r="M105" s="258">
        <v>0</v>
      </c>
      <c r="N105" s="258">
        <v>0</v>
      </c>
      <c r="O105" s="258">
        <v>0</v>
      </c>
      <c r="P105" s="258">
        <f t="shared" si="1"/>
        <v>0</v>
      </c>
      <c r="Q105" s="152" t="str">
        <f>Master!AF42</f>
        <v>MALI</v>
      </c>
    </row>
    <row r="106" spans="2:17" ht="15.75" thickBot="1" x14ac:dyDescent="0.3">
      <c r="B106" s="152" t="str">
        <f>Master!AF43</f>
        <v>MALAYSIA</v>
      </c>
      <c r="C106" s="151" t="str">
        <f>Master!AG43</f>
        <v>MY</v>
      </c>
      <c r="D106" s="258">
        <v>0</v>
      </c>
      <c r="E106" s="258">
        <v>0</v>
      </c>
      <c r="F106" s="258">
        <v>0</v>
      </c>
      <c r="G106" s="258">
        <v>0</v>
      </c>
      <c r="H106" s="258">
        <v>0</v>
      </c>
      <c r="I106" s="258">
        <v>0</v>
      </c>
      <c r="J106" s="258">
        <v>0</v>
      </c>
      <c r="K106" s="258">
        <v>0</v>
      </c>
      <c r="L106" s="258">
        <v>0</v>
      </c>
      <c r="M106" s="258">
        <v>0</v>
      </c>
      <c r="N106" s="258">
        <v>0</v>
      </c>
      <c r="O106" s="258">
        <v>0</v>
      </c>
      <c r="P106" s="258">
        <f t="shared" si="1"/>
        <v>0</v>
      </c>
      <c r="Q106" s="152" t="str">
        <f>Master!AF43</f>
        <v>MALAYSIA</v>
      </c>
    </row>
    <row r="107" spans="2:17" ht="15.75" thickBot="1" x14ac:dyDescent="0.3">
      <c r="B107" s="152" t="str">
        <f>Master!AF44</f>
        <v>NAMIBIA</v>
      </c>
      <c r="C107" s="151" t="str">
        <f>Master!AG44</f>
        <v>WA</v>
      </c>
      <c r="D107" s="258">
        <v>0</v>
      </c>
      <c r="E107" s="258">
        <v>0</v>
      </c>
      <c r="F107" s="258">
        <v>0</v>
      </c>
      <c r="G107" s="258">
        <v>0</v>
      </c>
      <c r="H107" s="258">
        <v>0</v>
      </c>
      <c r="I107" s="258">
        <v>0</v>
      </c>
      <c r="J107" s="258">
        <v>0</v>
      </c>
      <c r="K107" s="258">
        <v>0</v>
      </c>
      <c r="L107" s="258">
        <v>0</v>
      </c>
      <c r="M107" s="258">
        <v>0</v>
      </c>
      <c r="N107" s="258">
        <v>0</v>
      </c>
      <c r="O107" s="258">
        <v>0</v>
      </c>
      <c r="P107" s="258">
        <f t="shared" si="1"/>
        <v>0</v>
      </c>
      <c r="Q107" s="152" t="str">
        <f>Master!AF44</f>
        <v>NAMIBIA</v>
      </c>
    </row>
    <row r="108" spans="2:17" ht="15.75" thickBot="1" x14ac:dyDescent="0.3">
      <c r="B108" s="152" t="str">
        <f>Master!AF45</f>
        <v>NEPAL</v>
      </c>
      <c r="C108" s="151" t="str">
        <f>Master!AG45</f>
        <v>NP</v>
      </c>
      <c r="D108" s="258">
        <v>0</v>
      </c>
      <c r="E108" s="258">
        <v>0</v>
      </c>
      <c r="F108" s="258">
        <v>0</v>
      </c>
      <c r="G108" s="258">
        <v>0</v>
      </c>
      <c r="H108" s="258">
        <v>0</v>
      </c>
      <c r="I108" s="258">
        <v>0</v>
      </c>
      <c r="J108" s="258">
        <v>0</v>
      </c>
      <c r="K108" s="258">
        <v>0</v>
      </c>
      <c r="L108" s="258">
        <v>0</v>
      </c>
      <c r="M108" s="258">
        <v>0</v>
      </c>
      <c r="N108" s="258">
        <v>0</v>
      </c>
      <c r="O108" s="258">
        <v>0</v>
      </c>
      <c r="P108" s="258">
        <f t="shared" si="1"/>
        <v>0</v>
      </c>
      <c r="Q108" s="152" t="str">
        <f>Master!AF45</f>
        <v>NEPAL</v>
      </c>
    </row>
    <row r="109" spans="2:17" ht="15.75" thickBot="1" x14ac:dyDescent="0.3">
      <c r="B109" s="152" t="str">
        <f>Master!AF46</f>
        <v>NIGERIA</v>
      </c>
      <c r="C109" s="151" t="str">
        <f>Master!AG46</f>
        <v>NI</v>
      </c>
      <c r="D109" s="258">
        <v>0</v>
      </c>
      <c r="E109" s="258">
        <v>0</v>
      </c>
      <c r="F109" s="258">
        <v>0</v>
      </c>
      <c r="G109" s="258">
        <v>0</v>
      </c>
      <c r="H109" s="258">
        <v>0</v>
      </c>
      <c r="I109" s="258">
        <v>0</v>
      </c>
      <c r="J109" s="258">
        <v>0</v>
      </c>
      <c r="K109" s="258">
        <v>0</v>
      </c>
      <c r="L109" s="258">
        <v>0</v>
      </c>
      <c r="M109" s="258">
        <v>0</v>
      </c>
      <c r="N109" s="258">
        <v>0</v>
      </c>
      <c r="O109" s="258">
        <v>0</v>
      </c>
      <c r="P109" s="258">
        <f t="shared" si="1"/>
        <v>0</v>
      </c>
      <c r="Q109" s="152" t="str">
        <f>Master!AF46</f>
        <v>NIGERIA</v>
      </c>
    </row>
    <row r="110" spans="2:17" ht="15.75" thickBot="1" x14ac:dyDescent="0.3">
      <c r="B110" s="152" t="str">
        <f>Master!AF47</f>
        <v>PAKISTAN</v>
      </c>
      <c r="C110" s="151" t="str">
        <f>Master!AG47</f>
        <v>PK</v>
      </c>
      <c r="D110" s="258">
        <v>0</v>
      </c>
      <c r="E110" s="258">
        <v>0</v>
      </c>
      <c r="F110" s="258">
        <v>0</v>
      </c>
      <c r="G110" s="258">
        <v>0</v>
      </c>
      <c r="H110" s="258">
        <v>0</v>
      </c>
      <c r="I110" s="258">
        <v>0</v>
      </c>
      <c r="J110" s="258">
        <v>0</v>
      </c>
      <c r="K110" s="258">
        <v>0</v>
      </c>
      <c r="L110" s="258">
        <v>0</v>
      </c>
      <c r="M110" s="258">
        <v>0</v>
      </c>
      <c r="N110" s="258">
        <v>0</v>
      </c>
      <c r="O110" s="258">
        <v>0</v>
      </c>
      <c r="P110" s="258">
        <f t="shared" si="1"/>
        <v>0</v>
      </c>
      <c r="Q110" s="152" t="str">
        <f>Master!AF47</f>
        <v>PAKISTAN</v>
      </c>
    </row>
    <row r="111" spans="2:17" ht="15.75" thickBot="1" x14ac:dyDescent="0.3">
      <c r="B111" s="152" t="str">
        <f>Master!AF48</f>
        <v>PITCAIRN ISLANDS</v>
      </c>
      <c r="C111" s="151" t="str">
        <f>Master!AG48</f>
        <v>PN</v>
      </c>
      <c r="D111" s="258">
        <v>0</v>
      </c>
      <c r="E111" s="258">
        <v>0</v>
      </c>
      <c r="F111" s="258">
        <v>0</v>
      </c>
      <c r="G111" s="258">
        <v>0</v>
      </c>
      <c r="H111" s="258">
        <v>0</v>
      </c>
      <c r="I111" s="258">
        <v>0</v>
      </c>
      <c r="J111" s="258">
        <v>0</v>
      </c>
      <c r="K111" s="258">
        <v>0</v>
      </c>
      <c r="L111" s="258">
        <v>0</v>
      </c>
      <c r="M111" s="258">
        <v>0</v>
      </c>
      <c r="N111" s="258">
        <v>0</v>
      </c>
      <c r="O111" s="258">
        <v>0</v>
      </c>
      <c r="P111" s="258">
        <f t="shared" si="1"/>
        <v>0</v>
      </c>
      <c r="Q111" s="152" t="str">
        <f>Master!AF48</f>
        <v>PITCAIRN ISLANDS</v>
      </c>
    </row>
    <row r="112" spans="2:17" ht="15.75" thickBot="1" x14ac:dyDescent="0.3">
      <c r="B112" s="152" t="str">
        <f>Master!AF49</f>
        <v>RWANDA</v>
      </c>
      <c r="C112" s="151" t="str">
        <f>Master!AG49</f>
        <v>RW</v>
      </c>
      <c r="D112" s="258">
        <v>0</v>
      </c>
      <c r="E112" s="258">
        <v>0</v>
      </c>
      <c r="F112" s="258">
        <v>0</v>
      </c>
      <c r="G112" s="258">
        <v>0</v>
      </c>
      <c r="H112" s="258">
        <v>0</v>
      </c>
      <c r="I112" s="258">
        <v>0</v>
      </c>
      <c r="J112" s="258">
        <v>0</v>
      </c>
      <c r="K112" s="258">
        <v>0</v>
      </c>
      <c r="L112" s="258">
        <v>0</v>
      </c>
      <c r="M112" s="258">
        <v>0</v>
      </c>
      <c r="N112" s="258">
        <v>0</v>
      </c>
      <c r="O112" s="258">
        <v>0</v>
      </c>
      <c r="P112" s="258">
        <f t="shared" si="1"/>
        <v>0</v>
      </c>
      <c r="Q112" s="152" t="str">
        <f>Master!AF49</f>
        <v>RWANDA</v>
      </c>
    </row>
    <row r="113" spans="2:17" ht="15.75" thickBot="1" x14ac:dyDescent="0.3">
      <c r="B113" s="152" t="str">
        <f>Master!AF50</f>
        <v>RUSSIA</v>
      </c>
      <c r="C113" s="151" t="str">
        <f>Master!AG50</f>
        <v>RS</v>
      </c>
      <c r="D113" s="258">
        <v>0</v>
      </c>
      <c r="E113" s="258">
        <v>0</v>
      </c>
      <c r="F113" s="258">
        <v>0</v>
      </c>
      <c r="G113" s="258">
        <v>0</v>
      </c>
      <c r="H113" s="258">
        <v>0</v>
      </c>
      <c r="I113" s="258">
        <v>0</v>
      </c>
      <c r="J113" s="258">
        <v>0</v>
      </c>
      <c r="K113" s="258">
        <v>0</v>
      </c>
      <c r="L113" s="258">
        <v>0</v>
      </c>
      <c r="M113" s="258">
        <v>0</v>
      </c>
      <c r="N113" s="258">
        <v>0</v>
      </c>
      <c r="O113" s="258">
        <v>0</v>
      </c>
      <c r="P113" s="258">
        <f t="shared" si="1"/>
        <v>0</v>
      </c>
      <c r="Q113" s="152" t="str">
        <f>Master!AF50</f>
        <v>RUSSIA</v>
      </c>
    </row>
    <row r="114" spans="2:17" ht="15.75" thickBot="1" x14ac:dyDescent="0.3">
      <c r="B114" s="152" t="str">
        <f>Master!AF51</f>
        <v>SIERRA LEON</v>
      </c>
      <c r="C114" s="151" t="str">
        <f>Master!AG51</f>
        <v>SL</v>
      </c>
      <c r="D114" s="258">
        <v>0</v>
      </c>
      <c r="E114" s="258">
        <v>0</v>
      </c>
      <c r="F114" s="258">
        <v>0</v>
      </c>
      <c r="G114" s="258">
        <v>0</v>
      </c>
      <c r="H114" s="258">
        <v>0</v>
      </c>
      <c r="I114" s="258">
        <v>0</v>
      </c>
      <c r="J114" s="258">
        <v>0</v>
      </c>
      <c r="K114" s="258">
        <v>0</v>
      </c>
      <c r="L114" s="258">
        <v>0</v>
      </c>
      <c r="M114" s="258">
        <v>0</v>
      </c>
      <c r="N114" s="258">
        <v>0</v>
      </c>
      <c r="O114" s="258">
        <v>0</v>
      </c>
      <c r="P114" s="258">
        <f t="shared" si="1"/>
        <v>0</v>
      </c>
      <c r="Q114" s="152" t="str">
        <f>Master!AF51</f>
        <v>SIERRA LEON</v>
      </c>
    </row>
    <row r="115" spans="2:17" ht="15.75" thickBot="1" x14ac:dyDescent="0.3">
      <c r="B115" s="152" t="str">
        <f>Master!AF52</f>
        <v>SOMALIA</v>
      </c>
      <c r="C115" s="151" t="str">
        <f>Master!AG52</f>
        <v>SO</v>
      </c>
      <c r="D115" s="258">
        <v>0</v>
      </c>
      <c r="E115" s="258">
        <v>1</v>
      </c>
      <c r="F115" s="258">
        <v>0</v>
      </c>
      <c r="G115" s="258">
        <v>0</v>
      </c>
      <c r="H115" s="258">
        <v>0</v>
      </c>
      <c r="I115" s="258">
        <v>0</v>
      </c>
      <c r="J115" s="258">
        <v>0</v>
      </c>
      <c r="K115" s="258">
        <v>2</v>
      </c>
      <c r="L115" s="258">
        <v>0</v>
      </c>
      <c r="M115" s="258">
        <v>0</v>
      </c>
      <c r="N115" s="258">
        <v>0</v>
      </c>
      <c r="O115" s="258">
        <v>0</v>
      </c>
      <c r="P115" s="258">
        <f t="shared" si="1"/>
        <v>3</v>
      </c>
      <c r="Q115" s="152" t="str">
        <f>Master!AF52</f>
        <v>SOMALIA</v>
      </c>
    </row>
    <row r="116" spans="2:17" ht="15.75" thickBot="1" x14ac:dyDescent="0.3">
      <c r="B116" s="152" t="str">
        <f>Master!AF53</f>
        <v>SPAIN</v>
      </c>
      <c r="C116" s="151" t="str">
        <f>Master!AG53</f>
        <v>ES</v>
      </c>
      <c r="D116" s="258">
        <v>0</v>
      </c>
      <c r="E116" s="258">
        <v>0</v>
      </c>
      <c r="F116" s="258">
        <v>0</v>
      </c>
      <c r="G116" s="258">
        <v>0</v>
      </c>
      <c r="H116" s="258">
        <v>0</v>
      </c>
      <c r="I116" s="258">
        <v>0</v>
      </c>
      <c r="J116" s="258">
        <v>0</v>
      </c>
      <c r="K116" s="258">
        <v>0</v>
      </c>
      <c r="L116" s="258">
        <v>0</v>
      </c>
      <c r="M116" s="258">
        <v>0</v>
      </c>
      <c r="N116" s="258">
        <v>0</v>
      </c>
      <c r="O116" s="258">
        <v>0</v>
      </c>
      <c r="P116" s="258">
        <f t="shared" si="1"/>
        <v>0</v>
      </c>
      <c r="Q116" s="152" t="str">
        <f>Master!AF53</f>
        <v>SPAIN</v>
      </c>
    </row>
    <row r="117" spans="2:17" ht="15.75" thickBot="1" x14ac:dyDescent="0.3">
      <c r="B117" s="152" t="str">
        <f>Master!AF54</f>
        <v>SOUTH SUDAN</v>
      </c>
      <c r="C117" s="151" t="str">
        <f>Master!AG54</f>
        <v>SS</v>
      </c>
      <c r="D117" s="258">
        <v>0</v>
      </c>
      <c r="E117" s="258">
        <v>0</v>
      </c>
      <c r="F117" s="258">
        <v>0</v>
      </c>
      <c r="G117" s="258">
        <v>0</v>
      </c>
      <c r="H117" s="258">
        <v>0</v>
      </c>
      <c r="I117" s="258">
        <v>0</v>
      </c>
      <c r="J117" s="258">
        <v>0</v>
      </c>
      <c r="K117" s="258">
        <v>4</v>
      </c>
      <c r="L117" s="258">
        <v>0</v>
      </c>
      <c r="M117" s="258">
        <v>0</v>
      </c>
      <c r="N117" s="258">
        <v>0</v>
      </c>
      <c r="O117" s="258">
        <v>0</v>
      </c>
      <c r="P117" s="258">
        <f t="shared" si="1"/>
        <v>4</v>
      </c>
      <c r="Q117" s="152" t="str">
        <f>Master!AF54</f>
        <v>SOUTH SUDAN</v>
      </c>
    </row>
    <row r="118" spans="2:17" ht="15.75" thickBot="1" x14ac:dyDescent="0.3">
      <c r="B118" s="152" t="str">
        <f>Master!AF55</f>
        <v>SRI LANKA</v>
      </c>
      <c r="C118" s="151" t="str">
        <f>Master!AG55</f>
        <v>CE</v>
      </c>
      <c r="D118" s="258">
        <v>0</v>
      </c>
      <c r="E118" s="258">
        <v>0</v>
      </c>
      <c r="F118" s="258">
        <v>0</v>
      </c>
      <c r="G118" s="258">
        <v>0</v>
      </c>
      <c r="H118" s="258">
        <v>0</v>
      </c>
      <c r="I118" s="258">
        <v>0</v>
      </c>
      <c r="J118" s="258">
        <v>0</v>
      </c>
      <c r="K118" s="258">
        <v>0</v>
      </c>
      <c r="L118" s="258">
        <v>0</v>
      </c>
      <c r="M118" s="258">
        <v>0</v>
      </c>
      <c r="N118" s="258">
        <v>0</v>
      </c>
      <c r="O118" s="258">
        <v>0</v>
      </c>
      <c r="P118" s="258">
        <f t="shared" si="1"/>
        <v>0</v>
      </c>
      <c r="Q118" s="152" t="str">
        <f>Master!AF55</f>
        <v>SRI LANKA</v>
      </c>
    </row>
    <row r="119" spans="2:17" ht="15.75" thickBot="1" x14ac:dyDescent="0.3">
      <c r="B119" s="152" t="str">
        <f>Master!AF56</f>
        <v>SUDAN</v>
      </c>
      <c r="C119" s="151" t="str">
        <f>Master!AG56</f>
        <v>SU</v>
      </c>
      <c r="D119" s="258">
        <v>0</v>
      </c>
      <c r="E119" s="258">
        <v>0</v>
      </c>
      <c r="F119" s="258">
        <v>0</v>
      </c>
      <c r="G119" s="258">
        <v>0</v>
      </c>
      <c r="H119" s="258">
        <v>0</v>
      </c>
      <c r="I119" s="258">
        <v>0</v>
      </c>
      <c r="J119" s="258">
        <v>0</v>
      </c>
      <c r="K119" s="258">
        <v>1</v>
      </c>
      <c r="L119" s="258">
        <v>0</v>
      </c>
      <c r="M119" s="258">
        <v>0</v>
      </c>
      <c r="N119" s="258">
        <v>0</v>
      </c>
      <c r="O119" s="258">
        <v>0</v>
      </c>
      <c r="P119" s="258">
        <f t="shared" si="1"/>
        <v>1</v>
      </c>
      <c r="Q119" s="152" t="str">
        <f>Master!AF56</f>
        <v>SUDAN</v>
      </c>
    </row>
    <row r="120" spans="2:17" ht="15.75" thickBot="1" x14ac:dyDescent="0.3">
      <c r="B120" s="152" t="str">
        <f>Master!AF57</f>
        <v>SYRIA</v>
      </c>
      <c r="C120" s="151" t="str">
        <f>Master!AG57</f>
        <v>SY</v>
      </c>
      <c r="D120" s="258">
        <v>0</v>
      </c>
      <c r="E120" s="258">
        <v>0</v>
      </c>
      <c r="F120" s="258">
        <v>0</v>
      </c>
      <c r="G120" s="258">
        <v>0</v>
      </c>
      <c r="H120" s="258">
        <v>0</v>
      </c>
      <c r="I120" s="258">
        <v>0</v>
      </c>
      <c r="J120" s="258">
        <v>0</v>
      </c>
      <c r="K120" s="258">
        <v>0</v>
      </c>
      <c r="L120" s="258">
        <v>0</v>
      </c>
      <c r="M120" s="258">
        <v>0</v>
      </c>
      <c r="N120" s="258">
        <v>0</v>
      </c>
      <c r="O120" s="258">
        <v>0</v>
      </c>
      <c r="P120" s="258">
        <f t="shared" si="1"/>
        <v>0</v>
      </c>
      <c r="Q120" s="152" t="str">
        <f>Master!AF57</f>
        <v>SYRIA</v>
      </c>
    </row>
    <row r="121" spans="2:17" ht="15.75" thickBot="1" x14ac:dyDescent="0.3">
      <c r="B121" s="152" t="str">
        <f>Master!AF58</f>
        <v>TAJIKISTAN</v>
      </c>
      <c r="C121" s="151" t="str">
        <f>Master!AG58</f>
        <v>TI</v>
      </c>
      <c r="D121" s="258">
        <v>0</v>
      </c>
      <c r="E121" s="258">
        <v>0</v>
      </c>
      <c r="F121" s="258">
        <v>0</v>
      </c>
      <c r="G121" s="258">
        <v>0</v>
      </c>
      <c r="H121" s="258">
        <v>0</v>
      </c>
      <c r="I121" s="258">
        <v>0</v>
      </c>
      <c r="J121" s="258">
        <v>0</v>
      </c>
      <c r="K121" s="258">
        <v>0</v>
      </c>
      <c r="L121" s="258">
        <v>0</v>
      </c>
      <c r="M121" s="258">
        <v>0</v>
      </c>
      <c r="N121" s="258">
        <v>0</v>
      </c>
      <c r="O121" s="258">
        <v>0</v>
      </c>
      <c r="P121" s="258">
        <f t="shared" si="1"/>
        <v>0</v>
      </c>
      <c r="Q121" s="152" t="str">
        <f>Master!AF58</f>
        <v>TAJIKISTAN</v>
      </c>
    </row>
    <row r="122" spans="2:17" ht="15.75" thickBot="1" x14ac:dyDescent="0.3">
      <c r="B122" s="152" t="str">
        <f>Master!AF59</f>
        <v>TANZANIA</v>
      </c>
      <c r="C122" s="151" t="str">
        <f>Master!AG59</f>
        <v>TZ</v>
      </c>
      <c r="D122" s="258">
        <v>0</v>
      </c>
      <c r="E122" s="258">
        <v>0</v>
      </c>
      <c r="F122" s="258">
        <v>0</v>
      </c>
      <c r="G122" s="258">
        <v>0</v>
      </c>
      <c r="H122" s="258">
        <v>0</v>
      </c>
      <c r="I122" s="258">
        <v>0</v>
      </c>
      <c r="J122" s="258">
        <v>0</v>
      </c>
      <c r="K122" s="258">
        <v>0</v>
      </c>
      <c r="L122" s="258">
        <v>0</v>
      </c>
      <c r="M122" s="258">
        <v>0</v>
      </c>
      <c r="N122" s="258">
        <v>0</v>
      </c>
      <c r="O122" s="258">
        <v>0</v>
      </c>
      <c r="P122" s="258">
        <f t="shared" si="1"/>
        <v>0</v>
      </c>
      <c r="Q122" s="152" t="str">
        <f>Master!AF59</f>
        <v>TANZANIA</v>
      </c>
    </row>
    <row r="123" spans="2:17" ht="15.75" thickBot="1" x14ac:dyDescent="0.3">
      <c r="B123" s="152" t="str">
        <f>Master!AF60</f>
        <v>THAILAND</v>
      </c>
      <c r="C123" s="151" t="str">
        <f>Master!AG60</f>
        <v>TH</v>
      </c>
      <c r="D123" s="258">
        <v>0</v>
      </c>
      <c r="E123" s="258">
        <v>0</v>
      </c>
      <c r="F123" s="258">
        <v>0</v>
      </c>
      <c r="G123" s="258">
        <v>0</v>
      </c>
      <c r="H123" s="258">
        <v>0</v>
      </c>
      <c r="I123" s="258">
        <v>0</v>
      </c>
      <c r="J123" s="258">
        <v>0</v>
      </c>
      <c r="K123" s="258">
        <v>0</v>
      </c>
      <c r="L123" s="258">
        <v>0</v>
      </c>
      <c r="M123" s="258">
        <v>0</v>
      </c>
      <c r="N123" s="258">
        <v>0</v>
      </c>
      <c r="O123" s="258">
        <v>0</v>
      </c>
      <c r="P123" s="258">
        <f t="shared" si="1"/>
        <v>0</v>
      </c>
      <c r="Q123" s="152" t="str">
        <f>Master!AF60</f>
        <v>THAILAND</v>
      </c>
    </row>
    <row r="124" spans="2:17" ht="15.75" thickBot="1" x14ac:dyDescent="0.3">
      <c r="B124" s="152" t="str">
        <f>Master!AF61</f>
        <v>UGANDA</v>
      </c>
      <c r="C124" s="151" t="str">
        <f>Master!AG61</f>
        <v>UG</v>
      </c>
      <c r="D124" s="258">
        <v>0</v>
      </c>
      <c r="E124" s="258">
        <v>0</v>
      </c>
      <c r="F124" s="258">
        <v>0</v>
      </c>
      <c r="G124" s="258">
        <v>0</v>
      </c>
      <c r="H124" s="258">
        <v>0</v>
      </c>
      <c r="I124" s="258">
        <v>0</v>
      </c>
      <c r="J124" s="258">
        <v>0</v>
      </c>
      <c r="K124" s="258">
        <v>0</v>
      </c>
      <c r="L124" s="258">
        <v>0</v>
      </c>
      <c r="M124" s="258">
        <v>0</v>
      </c>
      <c r="N124" s="258">
        <v>0</v>
      </c>
      <c r="O124" s="258">
        <v>0</v>
      </c>
      <c r="P124" s="258">
        <f t="shared" si="1"/>
        <v>0</v>
      </c>
      <c r="Q124" s="152" t="str">
        <f>Master!AF61</f>
        <v>UGANDA</v>
      </c>
    </row>
    <row r="125" spans="2:17" ht="15.75" thickBot="1" x14ac:dyDescent="0.3">
      <c r="B125" s="152" t="str">
        <f>Master!AF62</f>
        <v>UKRAINE</v>
      </c>
      <c r="C125" s="151" t="str">
        <f>Master!AG62</f>
        <v>UP</v>
      </c>
      <c r="D125" s="258">
        <v>0</v>
      </c>
      <c r="E125" s="258">
        <v>0</v>
      </c>
      <c r="F125" s="258">
        <v>0</v>
      </c>
      <c r="G125" s="258">
        <v>0</v>
      </c>
      <c r="H125" s="258">
        <v>0</v>
      </c>
      <c r="I125" s="258">
        <v>0</v>
      </c>
      <c r="J125" s="258">
        <v>0</v>
      </c>
      <c r="K125" s="258">
        <v>0</v>
      </c>
      <c r="L125" s="258">
        <v>0</v>
      </c>
      <c r="M125" s="258">
        <v>0</v>
      </c>
      <c r="N125" s="258">
        <v>1</v>
      </c>
      <c r="O125" s="258">
        <v>0</v>
      </c>
      <c r="P125" s="258">
        <f t="shared" si="1"/>
        <v>1</v>
      </c>
      <c r="Q125" s="152" t="str">
        <f>Master!AF62</f>
        <v>UKRAINE</v>
      </c>
    </row>
    <row r="126" spans="2:17" ht="15.75" thickBot="1" x14ac:dyDescent="0.3">
      <c r="B126" s="152" t="str">
        <f>Master!AF63</f>
        <v>UZBEKISTAN</v>
      </c>
      <c r="C126" s="151" t="str">
        <f>Master!AG63</f>
        <v>UZ</v>
      </c>
      <c r="D126" s="258">
        <v>0</v>
      </c>
      <c r="E126" s="258">
        <v>0</v>
      </c>
      <c r="F126" s="258">
        <v>0</v>
      </c>
      <c r="G126" s="258">
        <v>0</v>
      </c>
      <c r="H126" s="258">
        <v>0</v>
      </c>
      <c r="I126" s="258">
        <v>0</v>
      </c>
      <c r="J126" s="258">
        <v>0</v>
      </c>
      <c r="K126" s="258">
        <v>0</v>
      </c>
      <c r="L126" s="258">
        <v>0</v>
      </c>
      <c r="M126" s="258">
        <v>0</v>
      </c>
      <c r="N126" s="258">
        <v>0</v>
      </c>
      <c r="O126" s="258">
        <v>0</v>
      </c>
      <c r="P126" s="258">
        <f t="shared" si="1"/>
        <v>0</v>
      </c>
      <c r="Q126" s="152" t="str">
        <f>Master!AF63</f>
        <v>UZBEKISTAN</v>
      </c>
    </row>
    <row r="127" spans="2:17" ht="15.75" thickBot="1" x14ac:dyDescent="0.3">
      <c r="B127" s="152" t="str">
        <f>Master!AF64</f>
        <v>VIETNAM</v>
      </c>
      <c r="C127" s="151" t="str">
        <f>Master!AG64</f>
        <v>VM</v>
      </c>
      <c r="D127" s="258">
        <v>0</v>
      </c>
      <c r="E127" s="258">
        <v>0</v>
      </c>
      <c r="F127" s="258">
        <v>0</v>
      </c>
      <c r="G127" s="258">
        <v>0</v>
      </c>
      <c r="H127" s="258">
        <v>0</v>
      </c>
      <c r="I127" s="258">
        <v>0</v>
      </c>
      <c r="J127" s="258">
        <v>0</v>
      </c>
      <c r="K127" s="258">
        <v>0</v>
      </c>
      <c r="L127" s="258">
        <v>0</v>
      </c>
      <c r="M127" s="258">
        <v>0</v>
      </c>
      <c r="N127" s="258">
        <v>0</v>
      </c>
      <c r="O127" s="258">
        <v>0</v>
      </c>
      <c r="P127" s="258">
        <f t="shared" si="1"/>
        <v>0</v>
      </c>
      <c r="Q127" s="152" t="str">
        <f>Master!AF64</f>
        <v>VIETNAM</v>
      </c>
    </row>
    <row r="128" spans="2:17" ht="15.75" thickBot="1" x14ac:dyDescent="0.3">
      <c r="B128" s="152" t="str">
        <f>Master!AF65</f>
        <v>ZAMBIA</v>
      </c>
      <c r="C128" s="151" t="str">
        <f>Master!AG65</f>
        <v>ZA</v>
      </c>
      <c r="D128" s="258">
        <v>0</v>
      </c>
      <c r="E128" s="258">
        <v>0</v>
      </c>
      <c r="F128" s="258">
        <v>0</v>
      </c>
      <c r="G128" s="258">
        <v>0</v>
      </c>
      <c r="H128" s="258">
        <v>0</v>
      </c>
      <c r="I128" s="258">
        <v>0</v>
      </c>
      <c r="J128" s="258">
        <v>0</v>
      </c>
      <c r="K128" s="258">
        <v>0</v>
      </c>
      <c r="L128" s="258">
        <v>0</v>
      </c>
      <c r="M128" s="258">
        <v>0</v>
      </c>
      <c r="N128" s="258">
        <v>0</v>
      </c>
      <c r="O128" s="258">
        <v>0</v>
      </c>
      <c r="P128" s="258">
        <f t="shared" si="1"/>
        <v>0</v>
      </c>
      <c r="Q128" s="152" t="str">
        <f>Master!AF65</f>
        <v>ZAMBIA</v>
      </c>
    </row>
    <row r="129" spans="2:17" ht="15.75" thickBot="1" x14ac:dyDescent="0.3">
      <c r="B129" s="354" t="s">
        <v>53</v>
      </c>
      <c r="C129" s="355"/>
      <c r="D129" s="249">
        <f>SUM(D70:D128)</f>
        <v>7</v>
      </c>
      <c r="E129" s="249">
        <f>SUM(E70:E128)</f>
        <v>11</v>
      </c>
      <c r="F129" s="249">
        <f>SUM(F70:F128)</f>
        <v>5</v>
      </c>
      <c r="G129" s="249">
        <f>SUM(G70:G128)</f>
        <v>10</v>
      </c>
      <c r="H129" s="249">
        <f>SUM(H70:H128)</f>
        <v>0</v>
      </c>
      <c r="I129" s="249">
        <f>SUM(I70:I128)</f>
        <v>0</v>
      </c>
      <c r="J129" s="249">
        <f>SUM(J70:J128)</f>
        <v>10</v>
      </c>
      <c r="K129" s="249">
        <v>10</v>
      </c>
      <c r="L129" s="249">
        <v>8</v>
      </c>
      <c r="M129" s="249">
        <v>0</v>
      </c>
      <c r="N129" s="249">
        <v>1</v>
      </c>
      <c r="O129" s="249">
        <v>12</v>
      </c>
      <c r="P129" s="249">
        <f>SUM(D129:O129)</f>
        <v>74</v>
      </c>
      <c r="Q129" s="240" t="s">
        <v>53</v>
      </c>
    </row>
    <row r="130" spans="2:17" x14ac:dyDescent="0.25"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</row>
    <row r="131" spans="2:17" x14ac:dyDescent="0.25"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</row>
  </sheetData>
  <mergeCells count="3">
    <mergeCell ref="B3:C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66"/>
  <sheetViews>
    <sheetView workbookViewId="0">
      <selection activeCell="T67" sqref="T67"/>
    </sheetView>
  </sheetViews>
  <sheetFormatPr defaultRowHeight="15" x14ac:dyDescent="0.25"/>
  <cols>
    <col min="1" max="1" width="2" style="62" customWidth="1"/>
    <col min="2" max="2" width="19.28515625" style="62" customWidth="1"/>
    <col min="3" max="3" width="6.140625" style="62" customWidth="1"/>
    <col min="4" max="16" width="9.140625" style="62"/>
    <col min="17" max="17" width="19.28515625" style="62" customWidth="1"/>
    <col min="18" max="16384" width="9.140625" style="62"/>
  </cols>
  <sheetData>
    <row r="1" spans="1:18" ht="10.5" customHeight="1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thickBot="1" x14ac:dyDescent="0.3">
      <c r="A2" s="55"/>
      <c r="B2" s="366" t="s">
        <v>57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8"/>
      <c r="R2" s="55"/>
    </row>
    <row r="3" spans="1:18" ht="13.5" customHeight="1" thickBot="1" x14ac:dyDescent="0.3">
      <c r="A3" s="55"/>
      <c r="B3" s="369"/>
      <c r="C3" s="370"/>
      <c r="D3" s="148" t="s">
        <v>19</v>
      </c>
      <c r="E3" s="148" t="s">
        <v>20</v>
      </c>
      <c r="F3" s="148" t="s">
        <v>21</v>
      </c>
      <c r="G3" s="148" t="s">
        <v>22</v>
      </c>
      <c r="H3" s="148" t="s">
        <v>23</v>
      </c>
      <c r="I3" s="148" t="s">
        <v>24</v>
      </c>
      <c r="J3" s="148" t="s">
        <v>25</v>
      </c>
      <c r="K3" s="148" t="s">
        <v>26</v>
      </c>
      <c r="L3" s="148" t="s">
        <v>27</v>
      </c>
      <c r="M3" s="148" t="s">
        <v>28</v>
      </c>
      <c r="N3" s="148" t="s">
        <v>29</v>
      </c>
      <c r="O3" s="148" t="s">
        <v>30</v>
      </c>
      <c r="P3" s="385" t="s">
        <v>40</v>
      </c>
      <c r="Q3" s="375"/>
      <c r="R3" s="55"/>
    </row>
    <row r="4" spans="1:18" ht="13.5" customHeight="1" thickBot="1" x14ac:dyDescent="0.3">
      <c r="A4" s="55"/>
      <c r="B4" s="371"/>
      <c r="C4" s="372"/>
      <c r="D4" s="148">
        <v>10</v>
      </c>
      <c r="E4" s="148">
        <v>11</v>
      </c>
      <c r="F4" s="148">
        <v>12</v>
      </c>
      <c r="G4" s="148">
        <v>1</v>
      </c>
      <c r="H4" s="148">
        <v>2</v>
      </c>
      <c r="I4" s="148">
        <v>3</v>
      </c>
      <c r="J4" s="148">
        <v>4</v>
      </c>
      <c r="K4" s="148">
        <v>5</v>
      </c>
      <c r="L4" s="148">
        <v>6</v>
      </c>
      <c r="M4" s="148">
        <v>7</v>
      </c>
      <c r="N4" s="148">
        <v>8</v>
      </c>
      <c r="O4" s="148">
        <v>9</v>
      </c>
      <c r="P4" s="386"/>
      <c r="Q4" s="376"/>
      <c r="R4" s="55"/>
    </row>
    <row r="5" spans="1:18" ht="15.75" thickBot="1" x14ac:dyDescent="0.3">
      <c r="A5" s="55"/>
      <c r="B5" s="154" t="str">
        <f>Master!AF7</f>
        <v>AFGHANISTAN</v>
      </c>
      <c r="C5" s="148" t="str">
        <f>Master!AG7</f>
        <v>AF</v>
      </c>
      <c r="D5" s="66">
        <v>5</v>
      </c>
      <c r="E5" s="258">
        <v>0</v>
      </c>
      <c r="F5" s="258">
        <v>9</v>
      </c>
      <c r="G5" s="258">
        <v>17</v>
      </c>
      <c r="H5" s="258">
        <v>17</v>
      </c>
      <c r="I5" s="258">
        <v>1</v>
      </c>
      <c r="J5" s="258">
        <v>3</v>
      </c>
      <c r="K5" s="258">
        <v>3</v>
      </c>
      <c r="L5" s="258">
        <v>10</v>
      </c>
      <c r="M5" s="258">
        <v>16</v>
      </c>
      <c r="N5" s="258">
        <v>32</v>
      </c>
      <c r="O5" s="258">
        <v>7</v>
      </c>
      <c r="P5" s="258">
        <f>SUM(D5:O5)</f>
        <v>120</v>
      </c>
      <c r="Q5" s="154" t="str">
        <f>Master!AF7</f>
        <v>AFGHANISTAN</v>
      </c>
      <c r="R5" s="55"/>
    </row>
    <row r="6" spans="1:18" ht="15.75" thickBot="1" x14ac:dyDescent="0.3">
      <c r="A6" s="55"/>
      <c r="B6" s="154" t="str">
        <f>Master!AF8</f>
        <v>ARMENIA</v>
      </c>
      <c r="C6" s="148" t="str">
        <f>Master!AG8</f>
        <v>AM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f t="shared" ref="P6:P63" si="0">SUM(D6:O6)</f>
        <v>0</v>
      </c>
      <c r="Q6" s="154" t="str">
        <f>Master!AF8</f>
        <v>ARMENIA</v>
      </c>
      <c r="R6" s="55"/>
    </row>
    <row r="7" spans="1:18" ht="15.75" thickBot="1" x14ac:dyDescent="0.3">
      <c r="A7" s="55"/>
      <c r="B7" s="154" t="s">
        <v>780</v>
      </c>
      <c r="C7" s="148" t="s">
        <v>333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258">
        <v>0</v>
      </c>
      <c r="K7" s="258">
        <v>0</v>
      </c>
      <c r="L7" s="258">
        <v>0</v>
      </c>
      <c r="M7" s="258">
        <v>0</v>
      </c>
      <c r="N7" s="258">
        <v>0</v>
      </c>
      <c r="O7" s="258">
        <v>2</v>
      </c>
      <c r="P7" s="258">
        <f t="shared" si="0"/>
        <v>2</v>
      </c>
      <c r="Q7" s="154" t="s">
        <v>780</v>
      </c>
    </row>
    <row r="8" spans="1:18" ht="15.75" thickBot="1" x14ac:dyDescent="0.3">
      <c r="A8" s="55"/>
      <c r="B8" s="154" t="str">
        <f>Master!AF10</f>
        <v>BELARUS</v>
      </c>
      <c r="C8" s="148" t="str">
        <f>Master!AG10</f>
        <v>BO</v>
      </c>
      <c r="D8" s="258">
        <v>0</v>
      </c>
      <c r="E8" s="258">
        <v>0</v>
      </c>
      <c r="F8" s="258">
        <v>0</v>
      </c>
      <c r="G8" s="258">
        <v>3</v>
      </c>
      <c r="H8" s="258">
        <v>1</v>
      </c>
      <c r="I8" s="258">
        <v>0</v>
      </c>
      <c r="J8" s="258">
        <v>0</v>
      </c>
      <c r="K8" s="258">
        <v>14</v>
      </c>
      <c r="L8" s="258">
        <v>0</v>
      </c>
      <c r="M8" s="258">
        <v>0</v>
      </c>
      <c r="N8" s="258">
        <v>0</v>
      </c>
      <c r="O8" s="258">
        <v>0</v>
      </c>
      <c r="P8" s="258">
        <f t="shared" si="0"/>
        <v>18</v>
      </c>
      <c r="Q8" s="154" t="str">
        <f>Master!AF10</f>
        <v>BELARUS</v>
      </c>
      <c r="R8" s="55"/>
    </row>
    <row r="9" spans="1:18" ht="15.75" thickBot="1" x14ac:dyDescent="0.3">
      <c r="A9" s="55"/>
      <c r="B9" s="154" t="str">
        <f>Master!AF11</f>
        <v>BURMA</v>
      </c>
      <c r="C9" s="148" t="str">
        <f>Master!AG11</f>
        <v>BM</v>
      </c>
      <c r="D9" s="258">
        <v>11</v>
      </c>
      <c r="E9" s="258">
        <v>1</v>
      </c>
      <c r="F9" s="258">
        <v>0</v>
      </c>
      <c r="G9" s="258">
        <v>3</v>
      </c>
      <c r="H9" s="258">
        <v>3</v>
      </c>
      <c r="I9" s="258">
        <v>0</v>
      </c>
      <c r="J9" s="258">
        <v>9</v>
      </c>
      <c r="K9" s="258">
        <v>9</v>
      </c>
      <c r="L9" s="258">
        <v>0</v>
      </c>
      <c r="M9" s="258">
        <v>0</v>
      </c>
      <c r="N9" s="258">
        <v>0</v>
      </c>
      <c r="O9" s="258">
        <v>1</v>
      </c>
      <c r="P9" s="258">
        <f t="shared" si="0"/>
        <v>37</v>
      </c>
      <c r="Q9" s="154" t="str">
        <f>Master!AF11</f>
        <v>BURMA</v>
      </c>
      <c r="R9" s="55"/>
    </row>
    <row r="10" spans="1:18" ht="15.75" thickBot="1" x14ac:dyDescent="0.3">
      <c r="A10" s="55"/>
      <c r="B10" s="154" t="str">
        <f>Master!AF12</f>
        <v>BHUTAN</v>
      </c>
      <c r="C10" s="148" t="str">
        <f>Master!AG12</f>
        <v>BT</v>
      </c>
      <c r="D10" s="258">
        <v>2</v>
      </c>
      <c r="E10" s="258">
        <v>12</v>
      </c>
      <c r="F10" s="258">
        <v>5</v>
      </c>
      <c r="G10" s="258">
        <v>8</v>
      </c>
      <c r="H10" s="258">
        <v>2</v>
      </c>
      <c r="I10" s="258">
        <v>0</v>
      </c>
      <c r="J10" s="258">
        <v>3</v>
      </c>
      <c r="K10" s="258">
        <v>0</v>
      </c>
      <c r="L10" s="258">
        <v>5</v>
      </c>
      <c r="M10" s="258">
        <v>0</v>
      </c>
      <c r="N10" s="258">
        <v>0</v>
      </c>
      <c r="O10" s="258">
        <v>6</v>
      </c>
      <c r="P10" s="258">
        <f t="shared" si="0"/>
        <v>43</v>
      </c>
      <c r="Q10" s="154" t="str">
        <f>Master!AF12</f>
        <v>BHUTAN</v>
      </c>
      <c r="R10" s="55"/>
    </row>
    <row r="11" spans="1:18" ht="15.75" thickBot="1" x14ac:dyDescent="0.3">
      <c r="A11" s="55"/>
      <c r="B11" s="154" t="s">
        <v>779</v>
      </c>
      <c r="C11" s="148" t="s">
        <v>287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f t="shared" si="0"/>
        <v>0</v>
      </c>
      <c r="Q11" s="154" t="s">
        <v>779</v>
      </c>
    </row>
    <row r="12" spans="1:18" ht="15.75" thickBot="1" x14ac:dyDescent="0.3">
      <c r="A12" s="55"/>
      <c r="B12" s="154" t="str">
        <f>Master!AF14</f>
        <v>BURUNDI</v>
      </c>
      <c r="C12" s="148" t="str">
        <f>Master!AG14</f>
        <v>BY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f t="shared" si="0"/>
        <v>0</v>
      </c>
      <c r="Q12" s="154" t="str">
        <f>Master!AF14</f>
        <v>BURUNDI</v>
      </c>
      <c r="R12" s="55"/>
    </row>
    <row r="13" spans="1:18" ht="15.75" thickBot="1" x14ac:dyDescent="0.3">
      <c r="A13" s="55"/>
      <c r="B13" s="154" t="str">
        <f>Master!AF15</f>
        <v>CAMEROUN</v>
      </c>
      <c r="C13" s="148" t="str">
        <f>Master!AG15</f>
        <v>CM</v>
      </c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1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f t="shared" si="0"/>
        <v>1</v>
      </c>
      <c r="Q13" s="154" t="str">
        <f>Master!AF15</f>
        <v>CAMEROUN</v>
      </c>
      <c r="R13" s="55"/>
    </row>
    <row r="14" spans="1:18" ht="15.75" thickBot="1" x14ac:dyDescent="0.3">
      <c r="A14" s="55"/>
      <c r="B14" s="154" t="str">
        <f>Master!AF16</f>
        <v>CENTRAL AFR REP</v>
      </c>
      <c r="C14" s="148" t="str">
        <f>Master!AG16</f>
        <v>CT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f t="shared" si="0"/>
        <v>0</v>
      </c>
      <c r="Q14" s="154" t="str">
        <f>Master!AF16</f>
        <v>CENTRAL AFR REP</v>
      </c>
      <c r="R14" s="55"/>
    </row>
    <row r="15" spans="1:18" ht="15.75" thickBot="1" x14ac:dyDescent="0.3">
      <c r="A15" s="55"/>
      <c r="B15" s="154" t="str">
        <f>Master!AF17</f>
        <v>CHINA</v>
      </c>
      <c r="C15" s="148" t="str">
        <f>Master!AG17</f>
        <v>CH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258">
        <v>0</v>
      </c>
      <c r="L15" s="66">
        <v>0</v>
      </c>
      <c r="M15" s="66">
        <v>0</v>
      </c>
      <c r="N15" s="258">
        <v>0</v>
      </c>
      <c r="O15" s="66">
        <v>0</v>
      </c>
      <c r="P15" s="258">
        <f t="shared" si="0"/>
        <v>0</v>
      </c>
      <c r="Q15" s="154" t="str">
        <f>Master!AF17</f>
        <v>CHINA</v>
      </c>
      <c r="R15" s="55"/>
    </row>
    <row r="16" spans="1:18" ht="15.75" thickBot="1" x14ac:dyDescent="0.3">
      <c r="A16" s="55"/>
      <c r="B16" s="154" t="str">
        <f>Master!AF18</f>
        <v>DEM REP OF CONGO</v>
      </c>
      <c r="C16" s="148" t="str">
        <f>Master!AG18</f>
        <v>CG</v>
      </c>
      <c r="D16" s="66">
        <v>11</v>
      </c>
      <c r="E16" s="66">
        <v>21</v>
      </c>
      <c r="F16" s="66">
        <v>6</v>
      </c>
      <c r="G16" s="66">
        <v>18</v>
      </c>
      <c r="H16" s="66">
        <v>2</v>
      </c>
      <c r="I16" s="66">
        <v>0</v>
      </c>
      <c r="J16" s="66">
        <v>6</v>
      </c>
      <c r="K16" s="258">
        <v>0</v>
      </c>
      <c r="L16" s="66">
        <v>1</v>
      </c>
      <c r="M16" s="66">
        <v>0</v>
      </c>
      <c r="N16" s="258">
        <v>0</v>
      </c>
      <c r="O16" s="66">
        <v>0</v>
      </c>
      <c r="P16" s="258">
        <f t="shared" si="0"/>
        <v>65</v>
      </c>
      <c r="Q16" s="154" t="str">
        <f>Master!AF18</f>
        <v>DEM REP OF CONGO</v>
      </c>
      <c r="R16" s="55"/>
    </row>
    <row r="17" spans="1:18" ht="15.75" thickBot="1" x14ac:dyDescent="0.3">
      <c r="A17" s="55"/>
      <c r="B17" s="154" t="str">
        <f>Master!AF19</f>
        <v>COLUMBIA</v>
      </c>
      <c r="C17" s="148" t="str">
        <f>Master!AG19</f>
        <v>CO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258">
        <v>0</v>
      </c>
      <c r="L17" s="66">
        <v>0</v>
      </c>
      <c r="M17" s="66">
        <v>0</v>
      </c>
      <c r="N17" s="258">
        <v>0</v>
      </c>
      <c r="O17" s="66">
        <v>0</v>
      </c>
      <c r="P17" s="258">
        <f t="shared" si="0"/>
        <v>0</v>
      </c>
      <c r="Q17" s="154" t="str">
        <f>Master!AF19</f>
        <v>COLUMBIA</v>
      </c>
      <c r="R17" s="55"/>
    </row>
    <row r="18" spans="1:18" ht="15.75" thickBot="1" x14ac:dyDescent="0.3">
      <c r="A18" s="55"/>
      <c r="B18" s="154" t="str">
        <f>Master!AF20</f>
        <v>CONGO</v>
      </c>
      <c r="C18" s="148" t="str">
        <f>Master!AG20</f>
        <v>CF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258">
        <v>0</v>
      </c>
      <c r="L18" s="66">
        <v>0</v>
      </c>
      <c r="M18" s="66">
        <v>0</v>
      </c>
      <c r="N18" s="258">
        <v>0</v>
      </c>
      <c r="O18" s="66">
        <v>0</v>
      </c>
      <c r="P18" s="258">
        <f t="shared" si="0"/>
        <v>0</v>
      </c>
      <c r="Q18" s="154" t="str">
        <f>Master!AF20</f>
        <v>CONGO</v>
      </c>
      <c r="R18" s="55"/>
    </row>
    <row r="19" spans="1:18" ht="15.75" thickBot="1" x14ac:dyDescent="0.3">
      <c r="A19" s="55"/>
      <c r="B19" s="154" t="str">
        <f>Master!AF21</f>
        <v>CUBA</v>
      </c>
      <c r="C19" s="148" t="str">
        <f>Master!AG21</f>
        <v>CU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258">
        <v>0</v>
      </c>
      <c r="L19" s="66">
        <v>0</v>
      </c>
      <c r="M19" s="66">
        <v>0</v>
      </c>
      <c r="N19" s="258">
        <v>0</v>
      </c>
      <c r="O19" s="66">
        <v>0</v>
      </c>
      <c r="P19" s="258">
        <f t="shared" si="0"/>
        <v>0</v>
      </c>
      <c r="Q19" s="154" t="str">
        <f>Master!AF21</f>
        <v>CUBA</v>
      </c>
      <c r="R19" s="55"/>
    </row>
    <row r="20" spans="1:18" ht="15.75" thickBot="1" x14ac:dyDescent="0.3">
      <c r="A20" s="55"/>
      <c r="B20" s="154" t="str">
        <f>Master!AF22</f>
        <v>CUBAN ENTRANT</v>
      </c>
      <c r="C20" s="148" t="str">
        <f>Master!AG22</f>
        <v>CUE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258">
        <v>0</v>
      </c>
      <c r="L20" s="66">
        <v>0</v>
      </c>
      <c r="M20" s="66">
        <v>0</v>
      </c>
      <c r="N20" s="258">
        <v>0</v>
      </c>
      <c r="O20" s="66">
        <v>0</v>
      </c>
      <c r="P20" s="258">
        <f t="shared" si="0"/>
        <v>0</v>
      </c>
      <c r="Q20" s="154" t="str">
        <f>Master!AF22</f>
        <v>CUBAN ENTRANT</v>
      </c>
      <c r="R20" s="55"/>
    </row>
    <row r="21" spans="1:18" ht="15.75" thickBot="1" x14ac:dyDescent="0.3">
      <c r="A21" s="55"/>
      <c r="B21" s="154" t="str">
        <f>Master!AF23</f>
        <v>ECUADOR</v>
      </c>
      <c r="C21" s="148" t="str">
        <f>Master!AG23</f>
        <v>EC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258">
        <v>0</v>
      </c>
      <c r="L21" s="66">
        <v>0</v>
      </c>
      <c r="M21" s="66">
        <v>0</v>
      </c>
      <c r="N21" s="258">
        <v>0</v>
      </c>
      <c r="O21" s="66">
        <v>0</v>
      </c>
      <c r="P21" s="258">
        <f t="shared" si="0"/>
        <v>0</v>
      </c>
      <c r="Q21" s="154" t="str">
        <f>Master!AF23</f>
        <v>ECUADOR</v>
      </c>
      <c r="R21" s="55"/>
    </row>
    <row r="22" spans="1:18" ht="15.75" thickBot="1" x14ac:dyDescent="0.3">
      <c r="A22" s="55"/>
      <c r="B22" s="154" t="str">
        <f>Master!AF24</f>
        <v>EGYPT</v>
      </c>
      <c r="C22" s="148" t="str">
        <f>Master!AG24</f>
        <v>EG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258">
        <v>0</v>
      </c>
      <c r="L22" s="66">
        <v>0</v>
      </c>
      <c r="M22" s="66">
        <v>0</v>
      </c>
      <c r="N22" s="258">
        <v>0</v>
      </c>
      <c r="O22" s="66">
        <v>0</v>
      </c>
      <c r="P22" s="258">
        <f t="shared" si="0"/>
        <v>0</v>
      </c>
      <c r="Q22" s="154" t="str">
        <f>Master!AF24</f>
        <v>EGYPT</v>
      </c>
      <c r="R22" s="55"/>
    </row>
    <row r="23" spans="1:18" ht="15.75" thickBot="1" x14ac:dyDescent="0.3">
      <c r="A23" s="55"/>
      <c r="B23" s="154" t="str">
        <f>Master!AF25</f>
        <v>ERITREA</v>
      </c>
      <c r="C23" s="148" t="str">
        <f>Master!AG25</f>
        <v>ER</v>
      </c>
      <c r="D23" s="66">
        <v>1</v>
      </c>
      <c r="E23" s="66">
        <v>1</v>
      </c>
      <c r="F23" s="66">
        <v>0</v>
      </c>
      <c r="G23" s="66">
        <v>2</v>
      </c>
      <c r="H23" s="66">
        <v>0</v>
      </c>
      <c r="I23" s="66">
        <v>2</v>
      </c>
      <c r="J23" s="66">
        <v>3</v>
      </c>
      <c r="K23" s="258">
        <v>0</v>
      </c>
      <c r="L23" s="66">
        <v>8</v>
      </c>
      <c r="M23" s="66">
        <v>0</v>
      </c>
      <c r="N23" s="258">
        <v>0</v>
      </c>
      <c r="O23" s="66">
        <v>8</v>
      </c>
      <c r="P23" s="258">
        <f t="shared" si="0"/>
        <v>25</v>
      </c>
      <c r="Q23" s="154" t="str">
        <f>Master!AF25</f>
        <v>ERITREA</v>
      </c>
      <c r="R23" s="55"/>
    </row>
    <row r="24" spans="1:18" ht="15.75" thickBot="1" x14ac:dyDescent="0.3">
      <c r="A24" s="55"/>
      <c r="B24" s="154" t="str">
        <f>Master!AF26</f>
        <v>ETHIOPIA</v>
      </c>
      <c r="C24" s="148" t="str">
        <f>Master!AG26</f>
        <v>ET</v>
      </c>
      <c r="D24" s="66">
        <v>2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258">
        <v>0</v>
      </c>
      <c r="L24" s="66">
        <v>0</v>
      </c>
      <c r="M24" s="66">
        <v>0</v>
      </c>
      <c r="N24" s="258">
        <v>0</v>
      </c>
      <c r="O24" s="66">
        <v>1</v>
      </c>
      <c r="P24" s="258">
        <f t="shared" si="0"/>
        <v>3</v>
      </c>
      <c r="Q24" s="154" t="str">
        <f>Master!AF26</f>
        <v>ETHIOPIA</v>
      </c>
      <c r="R24" s="55"/>
    </row>
    <row r="25" spans="1:18" ht="15.75" thickBot="1" x14ac:dyDescent="0.3">
      <c r="A25" s="55"/>
      <c r="B25" s="154" t="str">
        <f>Master!AF27</f>
        <v>FRANCE</v>
      </c>
      <c r="C25" s="148" t="str">
        <f>Master!AG27</f>
        <v>FR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258">
        <v>0</v>
      </c>
      <c r="L25" s="66">
        <v>0</v>
      </c>
      <c r="M25" s="66">
        <v>0</v>
      </c>
      <c r="N25" s="258">
        <v>0</v>
      </c>
      <c r="O25" s="66">
        <v>0</v>
      </c>
      <c r="P25" s="258">
        <f t="shared" si="0"/>
        <v>0</v>
      </c>
      <c r="Q25" s="154" t="str">
        <f>Master!AF27</f>
        <v>FRANCE</v>
      </c>
      <c r="R25" s="55"/>
    </row>
    <row r="26" spans="1:18" ht="15.75" thickBot="1" x14ac:dyDescent="0.3">
      <c r="A26" s="55"/>
      <c r="B26" s="154" t="str">
        <f>Master!AF28</f>
        <v>GUINEA</v>
      </c>
      <c r="C26" s="148" t="str">
        <f>Master!AG28</f>
        <v>GV</v>
      </c>
      <c r="D26" s="66">
        <v>0</v>
      </c>
      <c r="E26" s="66">
        <v>0</v>
      </c>
      <c r="F26" s="66">
        <v>0</v>
      </c>
      <c r="G26" s="66">
        <v>1</v>
      </c>
      <c r="H26" s="66">
        <v>0</v>
      </c>
      <c r="I26" s="66">
        <v>0</v>
      </c>
      <c r="J26" s="66">
        <v>0</v>
      </c>
      <c r="K26" s="258">
        <v>0</v>
      </c>
      <c r="L26" s="66">
        <v>0</v>
      </c>
      <c r="M26" s="66">
        <v>0</v>
      </c>
      <c r="N26" s="258">
        <v>0</v>
      </c>
      <c r="O26" s="66">
        <v>0</v>
      </c>
      <c r="P26" s="258">
        <f t="shared" si="0"/>
        <v>1</v>
      </c>
      <c r="Q26" s="154" t="str">
        <f>Master!AF28</f>
        <v>GUINEA</v>
      </c>
      <c r="R26" s="55"/>
    </row>
    <row r="27" spans="1:18" ht="15.75" thickBot="1" x14ac:dyDescent="0.3">
      <c r="A27" s="55"/>
      <c r="B27" s="154" t="str">
        <f>Master!AF29</f>
        <v>HAITI</v>
      </c>
      <c r="C27" s="148" t="str">
        <f>Master!AG29</f>
        <v>HA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258">
        <v>0</v>
      </c>
      <c r="L27" s="66">
        <v>0</v>
      </c>
      <c r="M27" s="66">
        <v>0</v>
      </c>
      <c r="N27" s="258">
        <v>0</v>
      </c>
      <c r="O27" s="66">
        <v>0</v>
      </c>
      <c r="P27" s="258">
        <f t="shared" si="0"/>
        <v>0</v>
      </c>
      <c r="Q27" s="154" t="str">
        <f>Master!AF29</f>
        <v>HAITI</v>
      </c>
      <c r="R27" s="55"/>
    </row>
    <row r="28" spans="1:18" ht="15.75" thickBot="1" x14ac:dyDescent="0.3">
      <c r="A28" s="55"/>
      <c r="B28" s="154" t="str">
        <f>Master!AF30</f>
        <v>INDIA</v>
      </c>
      <c r="C28" s="148" t="str">
        <f>Master!AG30</f>
        <v>IN</v>
      </c>
      <c r="D28" s="66">
        <v>1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258">
        <v>0</v>
      </c>
      <c r="L28" s="66">
        <v>0</v>
      </c>
      <c r="M28" s="66">
        <v>0</v>
      </c>
      <c r="N28" s="258">
        <v>0</v>
      </c>
      <c r="O28" s="66">
        <v>0</v>
      </c>
      <c r="P28" s="258">
        <f t="shared" si="0"/>
        <v>1</v>
      </c>
      <c r="Q28" s="154" t="str">
        <f>Master!AF30</f>
        <v>INDIA</v>
      </c>
      <c r="R28" s="55"/>
    </row>
    <row r="29" spans="1:18" ht="15.75" thickBot="1" x14ac:dyDescent="0.3">
      <c r="A29" s="55"/>
      <c r="B29" s="154" t="str">
        <f>Master!AF31</f>
        <v>INDONESIA</v>
      </c>
      <c r="C29" s="148" t="str">
        <f>Master!AG31</f>
        <v>ID</v>
      </c>
      <c r="D29" s="66">
        <v>1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258">
        <v>0</v>
      </c>
      <c r="L29" s="66">
        <v>0</v>
      </c>
      <c r="M29" s="66">
        <v>0</v>
      </c>
      <c r="N29" s="258">
        <v>0</v>
      </c>
      <c r="O29" s="66">
        <v>0</v>
      </c>
      <c r="P29" s="258">
        <f t="shared" si="0"/>
        <v>1</v>
      </c>
      <c r="Q29" s="154" t="str">
        <f>Master!AF31</f>
        <v>INDONESIA</v>
      </c>
      <c r="R29" s="55"/>
    </row>
    <row r="30" spans="1:18" ht="15.75" thickBot="1" x14ac:dyDescent="0.3">
      <c r="A30" s="55"/>
      <c r="B30" s="154" t="str">
        <f>Master!AF32</f>
        <v>IRAN</v>
      </c>
      <c r="C30" s="148" t="str">
        <f>Master!AG32</f>
        <v>IR</v>
      </c>
      <c r="D30" s="66">
        <v>0</v>
      </c>
      <c r="E30" s="66">
        <v>0</v>
      </c>
      <c r="F30" s="66">
        <v>3</v>
      </c>
      <c r="G30" s="66">
        <v>3</v>
      </c>
      <c r="H30" s="66">
        <v>0</v>
      </c>
      <c r="I30" s="66">
        <v>0</v>
      </c>
      <c r="J30" s="66">
        <v>0</v>
      </c>
      <c r="K30" s="258">
        <v>0</v>
      </c>
      <c r="L30" s="66">
        <v>0</v>
      </c>
      <c r="M30" s="66">
        <v>1</v>
      </c>
      <c r="N30" s="258">
        <v>0</v>
      </c>
      <c r="O30" s="66">
        <v>0</v>
      </c>
      <c r="P30" s="258">
        <f t="shared" si="0"/>
        <v>7</v>
      </c>
      <c r="Q30" s="154" t="str">
        <f>Master!AF32</f>
        <v>IRAN</v>
      </c>
      <c r="R30" s="55"/>
    </row>
    <row r="31" spans="1:18" ht="15.75" thickBot="1" x14ac:dyDescent="0.3">
      <c r="A31" s="55"/>
      <c r="B31" s="154" t="str">
        <f>Master!AF33</f>
        <v>IRAQ</v>
      </c>
      <c r="C31" s="148" t="str">
        <f>Master!AG33</f>
        <v>IZ</v>
      </c>
      <c r="D31" s="66">
        <v>12</v>
      </c>
      <c r="E31" s="66">
        <v>2</v>
      </c>
      <c r="F31" s="66">
        <v>14</v>
      </c>
      <c r="G31" s="66">
        <v>6</v>
      </c>
      <c r="H31" s="66">
        <v>2</v>
      </c>
      <c r="I31" s="66">
        <v>19</v>
      </c>
      <c r="J31" s="66">
        <v>4</v>
      </c>
      <c r="K31" s="258">
        <v>0</v>
      </c>
      <c r="L31" s="66">
        <v>7</v>
      </c>
      <c r="M31" s="66">
        <v>0</v>
      </c>
      <c r="N31" s="258">
        <v>0</v>
      </c>
      <c r="O31" s="66">
        <v>0</v>
      </c>
      <c r="P31" s="258">
        <f t="shared" si="0"/>
        <v>66</v>
      </c>
      <c r="Q31" s="154" t="str">
        <f>Master!AF33</f>
        <v>IRAQ</v>
      </c>
      <c r="R31" s="55"/>
    </row>
    <row r="32" spans="1:18" ht="15.75" thickBot="1" x14ac:dyDescent="0.3">
      <c r="A32" s="55"/>
      <c r="B32" s="154" t="str">
        <f>Master!AF34</f>
        <v>IVORY COAST</v>
      </c>
      <c r="C32" s="148" t="str">
        <f>Master!AG34</f>
        <v>IV</v>
      </c>
      <c r="D32" s="66">
        <v>0</v>
      </c>
      <c r="E32" s="66">
        <v>0</v>
      </c>
      <c r="F32" s="66">
        <v>0</v>
      </c>
      <c r="G32" s="66">
        <v>0</v>
      </c>
      <c r="H32" s="66">
        <v>5</v>
      </c>
      <c r="I32" s="66">
        <v>0</v>
      </c>
      <c r="J32" s="66">
        <v>0</v>
      </c>
      <c r="K32" s="258">
        <v>0</v>
      </c>
      <c r="L32" s="66">
        <v>1</v>
      </c>
      <c r="M32" s="66">
        <v>1</v>
      </c>
      <c r="N32" s="258">
        <v>0</v>
      </c>
      <c r="O32" s="66">
        <v>0</v>
      </c>
      <c r="P32" s="258">
        <f t="shared" si="0"/>
        <v>7</v>
      </c>
      <c r="Q32" s="154" t="str">
        <f>Master!AF34</f>
        <v>IVORY COAST</v>
      </c>
      <c r="R32" s="55"/>
    </row>
    <row r="33" spans="1:18" ht="15.75" thickBot="1" x14ac:dyDescent="0.3">
      <c r="A33" s="55"/>
      <c r="B33" s="154" t="str">
        <f>Master!AF35</f>
        <v>JORDAN</v>
      </c>
      <c r="C33" s="148" t="str">
        <f>Master!AG35</f>
        <v>JO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258">
        <v>0</v>
      </c>
      <c r="L33" s="66">
        <v>0</v>
      </c>
      <c r="M33" s="66">
        <v>0</v>
      </c>
      <c r="N33" s="258">
        <v>0</v>
      </c>
      <c r="O33" s="66">
        <v>0</v>
      </c>
      <c r="P33" s="258">
        <f t="shared" si="0"/>
        <v>0</v>
      </c>
      <c r="Q33" s="154" t="str">
        <f>Master!AF35</f>
        <v>JORDAN</v>
      </c>
      <c r="R33" s="55"/>
    </row>
    <row r="34" spans="1:18" ht="15.75" thickBot="1" x14ac:dyDescent="0.3">
      <c r="A34" s="55"/>
      <c r="B34" s="154" t="str">
        <f>Master!AF36</f>
        <v>KAZAKHSTAN</v>
      </c>
      <c r="C34" s="148" t="str">
        <f>Master!AG36</f>
        <v>KZ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258">
        <v>0</v>
      </c>
      <c r="L34" s="66">
        <v>0</v>
      </c>
      <c r="M34" s="66">
        <v>0</v>
      </c>
      <c r="N34" s="258">
        <v>0</v>
      </c>
      <c r="O34" s="66">
        <v>0</v>
      </c>
      <c r="P34" s="258">
        <f t="shared" si="0"/>
        <v>0</v>
      </c>
      <c r="Q34" s="154" t="str">
        <f>Master!AF36</f>
        <v>KAZAKHSTAN</v>
      </c>
      <c r="R34" s="55"/>
    </row>
    <row r="35" spans="1:18" ht="15.75" thickBot="1" x14ac:dyDescent="0.3">
      <c r="A35" s="55"/>
      <c r="B35" s="154" t="str">
        <f>Master!AF37</f>
        <v>KENYA</v>
      </c>
      <c r="C35" s="148" t="str">
        <f>Master!AG37</f>
        <v>KE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258">
        <v>0</v>
      </c>
      <c r="L35" s="66">
        <v>0</v>
      </c>
      <c r="M35" s="66">
        <v>0</v>
      </c>
      <c r="N35" s="258">
        <v>0</v>
      </c>
      <c r="O35" s="66">
        <v>0</v>
      </c>
      <c r="P35" s="258">
        <f t="shared" si="0"/>
        <v>0</v>
      </c>
      <c r="Q35" s="154" t="str">
        <f>Master!AF37</f>
        <v>KENYA</v>
      </c>
      <c r="R35" s="55"/>
    </row>
    <row r="36" spans="1:18" ht="15.75" thickBot="1" x14ac:dyDescent="0.3">
      <c r="A36" s="55"/>
      <c r="B36" s="154" t="str">
        <f>Master!AF38</f>
        <v>LEBANON</v>
      </c>
      <c r="C36" s="148" t="str">
        <f>Master!AG38</f>
        <v>LE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258">
        <v>0</v>
      </c>
      <c r="L36" s="66">
        <v>0</v>
      </c>
      <c r="M36" s="66">
        <v>0</v>
      </c>
      <c r="N36" s="258">
        <v>0</v>
      </c>
      <c r="O36" s="66">
        <v>0</v>
      </c>
      <c r="P36" s="258">
        <f t="shared" si="0"/>
        <v>0</v>
      </c>
      <c r="Q36" s="154" t="str">
        <f>Master!AF38</f>
        <v>LEBANON</v>
      </c>
      <c r="R36" s="55"/>
    </row>
    <row r="37" spans="1:18" ht="15.75" thickBot="1" x14ac:dyDescent="0.3">
      <c r="A37" s="55"/>
      <c r="B37" s="154" t="str">
        <f>Master!AF39</f>
        <v>LIBERIA</v>
      </c>
      <c r="C37" s="148" t="str">
        <f>Master!AG39</f>
        <v>LI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258">
        <v>0</v>
      </c>
      <c r="L37" s="66">
        <v>0</v>
      </c>
      <c r="M37" s="66">
        <v>0</v>
      </c>
      <c r="N37" s="258">
        <v>0</v>
      </c>
      <c r="O37" s="66">
        <v>0</v>
      </c>
      <c r="P37" s="258">
        <f t="shared" si="0"/>
        <v>0</v>
      </c>
      <c r="Q37" s="154" t="str">
        <f>Master!AF39</f>
        <v>LIBERIA</v>
      </c>
      <c r="R37" s="55"/>
    </row>
    <row r="38" spans="1:18" ht="15.75" thickBot="1" x14ac:dyDescent="0.3">
      <c r="A38" s="55"/>
      <c r="B38" s="154" t="str">
        <f>Master!AF40</f>
        <v>LIBYA</v>
      </c>
      <c r="C38" s="148" t="str">
        <f>Master!AG40</f>
        <v>LY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258">
        <v>0</v>
      </c>
      <c r="L38" s="66">
        <v>0</v>
      </c>
      <c r="M38" s="66">
        <v>0</v>
      </c>
      <c r="N38" s="258">
        <v>0</v>
      </c>
      <c r="O38" s="66">
        <v>0</v>
      </c>
      <c r="P38" s="258">
        <f t="shared" si="0"/>
        <v>0</v>
      </c>
      <c r="Q38" s="154" t="str">
        <f>Master!AF40</f>
        <v>LIBYA</v>
      </c>
      <c r="R38" s="55"/>
    </row>
    <row r="39" spans="1:18" ht="15.75" thickBot="1" x14ac:dyDescent="0.3">
      <c r="A39" s="55"/>
      <c r="B39" s="154" t="str">
        <f>Master!AF41</f>
        <v>MOLDOVA</v>
      </c>
      <c r="C39" s="148" t="str">
        <f>Master!AG41</f>
        <v>MD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258">
        <v>0</v>
      </c>
      <c r="L39" s="66">
        <v>0</v>
      </c>
      <c r="M39" s="66">
        <v>0</v>
      </c>
      <c r="N39" s="258">
        <v>0</v>
      </c>
      <c r="O39" s="66">
        <v>0</v>
      </c>
      <c r="P39" s="258">
        <f t="shared" si="0"/>
        <v>0</v>
      </c>
      <c r="Q39" s="154" t="str">
        <f>Master!AF41</f>
        <v>MOLDOVA</v>
      </c>
      <c r="R39" s="55"/>
    </row>
    <row r="40" spans="1:18" ht="15.75" thickBot="1" x14ac:dyDescent="0.3">
      <c r="A40" s="55"/>
      <c r="B40" s="154" t="str">
        <f>Master!AF42</f>
        <v>MALI</v>
      </c>
      <c r="C40" s="148" t="str">
        <f>Master!AG42</f>
        <v>ML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258">
        <v>0</v>
      </c>
      <c r="L40" s="66">
        <v>0</v>
      </c>
      <c r="M40" s="66">
        <v>0</v>
      </c>
      <c r="N40" s="258">
        <v>0</v>
      </c>
      <c r="O40" s="66">
        <v>0</v>
      </c>
      <c r="P40" s="258">
        <f t="shared" si="0"/>
        <v>0</v>
      </c>
      <c r="Q40" s="154" t="str">
        <f>Master!AF42</f>
        <v>MALI</v>
      </c>
      <c r="R40" s="55"/>
    </row>
    <row r="41" spans="1:18" ht="15.75" thickBot="1" x14ac:dyDescent="0.3">
      <c r="A41" s="55"/>
      <c r="B41" s="154" t="str">
        <f>Master!AF43</f>
        <v>MALAYSIA</v>
      </c>
      <c r="C41" s="148" t="str">
        <f>Master!AG43</f>
        <v>MY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258">
        <v>0</v>
      </c>
      <c r="L41" s="66">
        <v>0</v>
      </c>
      <c r="M41" s="66">
        <v>0</v>
      </c>
      <c r="N41" s="258">
        <v>0</v>
      </c>
      <c r="O41" s="66">
        <v>0</v>
      </c>
      <c r="P41" s="258">
        <f t="shared" si="0"/>
        <v>0</v>
      </c>
      <c r="Q41" s="154" t="str">
        <f>Master!AF43</f>
        <v>MALAYSIA</v>
      </c>
      <c r="R41" s="55"/>
    </row>
    <row r="42" spans="1:18" ht="15.75" thickBot="1" x14ac:dyDescent="0.3">
      <c r="A42" s="55"/>
      <c r="B42" s="154" t="str">
        <f>Master!AF44</f>
        <v>NAMIBIA</v>
      </c>
      <c r="C42" s="148" t="str">
        <f>Master!AG44</f>
        <v>WA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258">
        <v>0</v>
      </c>
      <c r="L42" s="66">
        <v>0</v>
      </c>
      <c r="M42" s="66">
        <v>0</v>
      </c>
      <c r="N42" s="258">
        <v>0</v>
      </c>
      <c r="O42" s="66">
        <v>0</v>
      </c>
      <c r="P42" s="258">
        <f t="shared" si="0"/>
        <v>0</v>
      </c>
      <c r="Q42" s="154" t="str">
        <f>Master!AF44</f>
        <v>NAMIBIA</v>
      </c>
      <c r="R42" s="55"/>
    </row>
    <row r="43" spans="1:18" ht="15.75" thickBot="1" x14ac:dyDescent="0.3">
      <c r="A43" s="55"/>
      <c r="B43" s="154" t="str">
        <f>Master!AF45</f>
        <v>NEPAL</v>
      </c>
      <c r="C43" s="148" t="str">
        <f>Master!AG45</f>
        <v>NP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258">
        <v>0</v>
      </c>
      <c r="L43" s="66">
        <v>0</v>
      </c>
      <c r="M43" s="66">
        <v>0</v>
      </c>
      <c r="N43" s="258">
        <v>0</v>
      </c>
      <c r="O43" s="66">
        <v>1</v>
      </c>
      <c r="P43" s="258">
        <f t="shared" si="0"/>
        <v>1</v>
      </c>
      <c r="Q43" s="154" t="str">
        <f>Master!AF45</f>
        <v>NEPAL</v>
      </c>
      <c r="R43" s="55"/>
    </row>
    <row r="44" spans="1:18" ht="15.75" thickBot="1" x14ac:dyDescent="0.3">
      <c r="A44" s="55"/>
      <c r="B44" s="154" t="str">
        <f>Master!AF46</f>
        <v>NIGERIA</v>
      </c>
      <c r="C44" s="148" t="str">
        <f>Master!AG46</f>
        <v>NI</v>
      </c>
      <c r="D44" s="258">
        <v>0</v>
      </c>
      <c r="E44" s="258">
        <v>0</v>
      </c>
      <c r="F44" s="258">
        <v>0</v>
      </c>
      <c r="G44" s="258">
        <v>0</v>
      </c>
      <c r="H44" s="258">
        <v>0</v>
      </c>
      <c r="I44" s="258">
        <v>0</v>
      </c>
      <c r="J44" s="258">
        <v>0</v>
      </c>
      <c r="K44" s="258">
        <v>1</v>
      </c>
      <c r="L44" s="258">
        <v>0</v>
      </c>
      <c r="M44" s="258">
        <v>0</v>
      </c>
      <c r="N44" s="258">
        <v>0</v>
      </c>
      <c r="O44" s="258">
        <v>0</v>
      </c>
      <c r="P44" s="258">
        <f t="shared" si="0"/>
        <v>1</v>
      </c>
      <c r="Q44" s="154" t="str">
        <f>Master!AF46</f>
        <v>NIGERIA</v>
      </c>
      <c r="R44" s="55"/>
    </row>
    <row r="45" spans="1:18" ht="15.75" thickBot="1" x14ac:dyDescent="0.3">
      <c r="A45" s="55"/>
      <c r="B45" s="154" t="str">
        <f>Master!AF47</f>
        <v>PAKISTAN</v>
      </c>
      <c r="C45" s="148" t="str">
        <f>Master!AG47</f>
        <v>PK</v>
      </c>
      <c r="D45" s="66">
        <v>9</v>
      </c>
      <c r="E45" s="66">
        <v>2</v>
      </c>
      <c r="F45" s="66">
        <v>0</v>
      </c>
      <c r="G45" s="66">
        <v>1</v>
      </c>
      <c r="H45" s="66">
        <v>1</v>
      </c>
      <c r="I45" s="66">
        <v>0</v>
      </c>
      <c r="J45" s="66">
        <v>6</v>
      </c>
      <c r="K45" s="258">
        <v>4</v>
      </c>
      <c r="L45" s="66">
        <v>3</v>
      </c>
      <c r="M45" s="66">
        <v>0</v>
      </c>
      <c r="N45" s="258">
        <v>4</v>
      </c>
      <c r="O45" s="66">
        <v>1</v>
      </c>
      <c r="P45" s="258">
        <f t="shared" si="0"/>
        <v>31</v>
      </c>
      <c r="Q45" s="154" t="str">
        <f>Master!AF47</f>
        <v>PAKISTAN</v>
      </c>
      <c r="R45" s="55"/>
    </row>
    <row r="46" spans="1:18" ht="15.75" thickBot="1" x14ac:dyDescent="0.3">
      <c r="A46" s="55"/>
      <c r="B46" s="154" t="str">
        <f>Master!AF48</f>
        <v>PITCAIRN ISLANDS</v>
      </c>
      <c r="C46" s="148" t="str">
        <f>Master!AG48</f>
        <v>PN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258">
        <v>0</v>
      </c>
      <c r="L46" s="66">
        <v>3</v>
      </c>
      <c r="M46" s="66">
        <v>0</v>
      </c>
      <c r="N46" s="258">
        <v>0</v>
      </c>
      <c r="O46" s="66">
        <v>0</v>
      </c>
      <c r="P46" s="258">
        <f t="shared" si="0"/>
        <v>3</v>
      </c>
      <c r="Q46" s="154" t="str">
        <f>Master!AF48</f>
        <v>PITCAIRN ISLANDS</v>
      </c>
      <c r="R46" s="55"/>
    </row>
    <row r="47" spans="1:18" ht="15.75" thickBot="1" x14ac:dyDescent="0.3">
      <c r="A47" s="55"/>
      <c r="B47" s="154" t="str">
        <f>Master!AF49</f>
        <v>RWANDA</v>
      </c>
      <c r="C47" s="148" t="str">
        <f>Master!AG49</f>
        <v>RW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258">
        <v>0</v>
      </c>
      <c r="L47" s="66">
        <v>1</v>
      </c>
      <c r="M47" s="66">
        <v>0</v>
      </c>
      <c r="N47" s="258">
        <v>0</v>
      </c>
      <c r="O47" s="66">
        <v>0</v>
      </c>
      <c r="P47" s="258">
        <f t="shared" si="0"/>
        <v>1</v>
      </c>
      <c r="Q47" s="154" t="str">
        <f>Master!AF49</f>
        <v>RWANDA</v>
      </c>
      <c r="R47" s="55"/>
    </row>
    <row r="48" spans="1:18" ht="15.75" thickBot="1" x14ac:dyDescent="0.3">
      <c r="A48" s="55"/>
      <c r="B48" s="154" t="str">
        <f>Master!AF50</f>
        <v>RUSSIA</v>
      </c>
      <c r="C48" s="148" t="str">
        <f>Master!AG50</f>
        <v>RS</v>
      </c>
      <c r="D48" s="66">
        <v>0</v>
      </c>
      <c r="E48" s="66">
        <v>0</v>
      </c>
      <c r="F48" s="66">
        <v>0</v>
      </c>
      <c r="G48" s="66">
        <v>0</v>
      </c>
      <c r="H48" s="66">
        <v>2</v>
      </c>
      <c r="I48" s="66">
        <v>0</v>
      </c>
      <c r="J48" s="66">
        <v>0</v>
      </c>
      <c r="K48" s="258">
        <v>0</v>
      </c>
      <c r="L48" s="66">
        <v>0</v>
      </c>
      <c r="M48" s="66">
        <v>0</v>
      </c>
      <c r="N48" s="258">
        <v>0</v>
      </c>
      <c r="O48" s="66">
        <v>0</v>
      </c>
      <c r="P48" s="258">
        <f t="shared" si="0"/>
        <v>2</v>
      </c>
      <c r="Q48" s="154" t="str">
        <f>Master!AF50</f>
        <v>RUSSIA</v>
      </c>
      <c r="R48" s="55"/>
    </row>
    <row r="49" spans="1:18" ht="15.75" thickBot="1" x14ac:dyDescent="0.3">
      <c r="A49" s="55"/>
      <c r="B49" s="154" t="str">
        <f>Master!AF51</f>
        <v>SIERRA LEON</v>
      </c>
      <c r="C49" s="148" t="str">
        <f>Master!AG51</f>
        <v>SL</v>
      </c>
      <c r="D49" s="66">
        <v>0</v>
      </c>
      <c r="E49" s="66">
        <v>0</v>
      </c>
      <c r="F49" s="66">
        <v>0</v>
      </c>
      <c r="G49" s="66">
        <v>0</v>
      </c>
      <c r="H49" s="66">
        <v>3</v>
      </c>
      <c r="I49" s="66">
        <v>0</v>
      </c>
      <c r="J49" s="66">
        <v>0</v>
      </c>
      <c r="K49" s="258">
        <v>0</v>
      </c>
      <c r="L49" s="66">
        <v>0</v>
      </c>
      <c r="M49" s="66">
        <v>0</v>
      </c>
      <c r="N49" s="258">
        <v>0</v>
      </c>
      <c r="O49" s="66">
        <v>0</v>
      </c>
      <c r="P49" s="258">
        <f t="shared" si="0"/>
        <v>3</v>
      </c>
      <c r="Q49" s="154" t="str">
        <f>Master!AF51</f>
        <v>SIERRA LEON</v>
      </c>
      <c r="R49" s="55"/>
    </row>
    <row r="50" spans="1:18" ht="15.75" thickBot="1" x14ac:dyDescent="0.3">
      <c r="A50" s="55"/>
      <c r="B50" s="154" t="str">
        <f>Master!AF52</f>
        <v>SOMALIA</v>
      </c>
      <c r="C50" s="148" t="str">
        <f>Master!AG52</f>
        <v>SO</v>
      </c>
      <c r="D50" s="66">
        <v>0</v>
      </c>
      <c r="E50" s="66">
        <v>0</v>
      </c>
      <c r="F50" s="66">
        <v>2</v>
      </c>
      <c r="G50" s="66">
        <v>0</v>
      </c>
      <c r="H50" s="66">
        <v>0</v>
      </c>
      <c r="I50" s="66">
        <v>1</v>
      </c>
      <c r="J50" s="66">
        <v>0</v>
      </c>
      <c r="K50" s="258">
        <v>0</v>
      </c>
      <c r="L50" s="66">
        <v>0</v>
      </c>
      <c r="M50" s="66">
        <v>0</v>
      </c>
      <c r="N50" s="258">
        <v>0</v>
      </c>
      <c r="O50" s="66">
        <v>0</v>
      </c>
      <c r="P50" s="258">
        <f t="shared" si="0"/>
        <v>3</v>
      </c>
      <c r="Q50" s="154" t="str">
        <f>Master!AF52</f>
        <v>SOMALIA</v>
      </c>
      <c r="R50" s="55"/>
    </row>
    <row r="51" spans="1:18" ht="15.75" thickBot="1" x14ac:dyDescent="0.3">
      <c r="A51" s="55"/>
      <c r="B51" s="154" t="str">
        <f>Master!AF53</f>
        <v>SPAIN</v>
      </c>
      <c r="C51" s="148" t="str">
        <f>Master!AG53</f>
        <v>ES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258">
        <v>0</v>
      </c>
      <c r="L51" s="66">
        <v>0</v>
      </c>
      <c r="M51" s="66">
        <v>0</v>
      </c>
      <c r="N51" s="258">
        <v>0</v>
      </c>
      <c r="O51" s="66">
        <v>0</v>
      </c>
      <c r="P51" s="258">
        <f t="shared" si="0"/>
        <v>0</v>
      </c>
      <c r="Q51" s="154" t="str">
        <f>Master!AF53</f>
        <v>SPAIN</v>
      </c>
      <c r="R51" s="55"/>
    </row>
    <row r="52" spans="1:18" ht="15.75" thickBot="1" x14ac:dyDescent="0.3">
      <c r="A52" s="55"/>
      <c r="B52" s="154" t="str">
        <f>Master!AF54</f>
        <v>SOUTH SUDAN</v>
      </c>
      <c r="C52" s="148" t="str">
        <f>Master!AG54</f>
        <v>SS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258">
        <v>0</v>
      </c>
      <c r="L52" s="66">
        <v>0</v>
      </c>
      <c r="M52" s="66">
        <v>0</v>
      </c>
      <c r="N52" s="258">
        <v>0</v>
      </c>
      <c r="O52" s="66">
        <v>0</v>
      </c>
      <c r="P52" s="258">
        <f t="shared" si="0"/>
        <v>0</v>
      </c>
      <c r="Q52" s="154" t="str">
        <f>Master!AF54</f>
        <v>SOUTH SUDAN</v>
      </c>
      <c r="R52" s="55"/>
    </row>
    <row r="53" spans="1:18" ht="15.75" thickBot="1" x14ac:dyDescent="0.3">
      <c r="A53" s="55"/>
      <c r="B53" s="154" t="str">
        <f>Master!AF55</f>
        <v>SRI LANKA</v>
      </c>
      <c r="C53" s="148" t="str">
        <f>Master!AG55</f>
        <v>CE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258">
        <v>0</v>
      </c>
      <c r="L53" s="66">
        <v>0</v>
      </c>
      <c r="M53" s="66">
        <v>0</v>
      </c>
      <c r="N53" s="258">
        <v>0</v>
      </c>
      <c r="O53" s="66">
        <v>0</v>
      </c>
      <c r="P53" s="258">
        <f t="shared" si="0"/>
        <v>0</v>
      </c>
      <c r="Q53" s="154" t="str">
        <f>Master!AF55</f>
        <v>SRI LANKA</v>
      </c>
      <c r="R53" s="55"/>
    </row>
    <row r="54" spans="1:18" ht="15.75" thickBot="1" x14ac:dyDescent="0.3">
      <c r="A54" s="55"/>
      <c r="B54" s="154" t="str">
        <f>Master!AF56</f>
        <v>SUDAN</v>
      </c>
      <c r="C54" s="148" t="str">
        <f>Master!AG56</f>
        <v>SU</v>
      </c>
      <c r="D54" s="66">
        <v>0</v>
      </c>
      <c r="E54" s="66">
        <v>0</v>
      </c>
      <c r="F54" s="66">
        <v>0</v>
      </c>
      <c r="G54" s="66">
        <v>0</v>
      </c>
      <c r="H54" s="66">
        <v>1</v>
      </c>
      <c r="I54" s="66">
        <v>0</v>
      </c>
      <c r="J54" s="66">
        <v>3</v>
      </c>
      <c r="K54" s="258">
        <v>0</v>
      </c>
      <c r="L54" s="66">
        <v>1</v>
      </c>
      <c r="M54" s="66">
        <v>0</v>
      </c>
      <c r="N54" s="258">
        <v>0</v>
      </c>
      <c r="O54" s="66">
        <v>0</v>
      </c>
      <c r="P54" s="258">
        <f t="shared" si="0"/>
        <v>5</v>
      </c>
      <c r="Q54" s="154" t="str">
        <f>Master!AF56</f>
        <v>SUDAN</v>
      </c>
      <c r="R54" s="55"/>
    </row>
    <row r="55" spans="1:18" ht="15.75" thickBot="1" x14ac:dyDescent="0.3">
      <c r="A55" s="55"/>
      <c r="B55" s="154" t="str">
        <f>Master!AF57</f>
        <v>SYRIA</v>
      </c>
      <c r="C55" s="148" t="str">
        <f>Master!AG57</f>
        <v>SY</v>
      </c>
      <c r="D55" s="66">
        <v>25</v>
      </c>
      <c r="E55" s="66">
        <v>22</v>
      </c>
      <c r="F55" s="66">
        <v>37</v>
      </c>
      <c r="G55" s="66">
        <v>36</v>
      </c>
      <c r="H55" s="66">
        <v>0</v>
      </c>
      <c r="I55" s="66">
        <v>0</v>
      </c>
      <c r="J55" s="66">
        <v>0</v>
      </c>
      <c r="K55" s="258">
        <v>7</v>
      </c>
      <c r="L55" s="66">
        <v>6</v>
      </c>
      <c r="M55" s="66">
        <v>0</v>
      </c>
      <c r="N55" s="258">
        <v>0</v>
      </c>
      <c r="O55" s="66">
        <v>0</v>
      </c>
      <c r="P55" s="258">
        <f t="shared" si="0"/>
        <v>133</v>
      </c>
      <c r="Q55" s="154" t="str">
        <f>Master!AF57</f>
        <v>SYRIA</v>
      </c>
      <c r="R55" s="55"/>
    </row>
    <row r="56" spans="1:18" ht="15.75" thickBot="1" x14ac:dyDescent="0.3">
      <c r="A56" s="55"/>
      <c r="B56" s="154" t="str">
        <f>Master!AF58</f>
        <v>TAJIKISTAN</v>
      </c>
      <c r="C56" s="148" t="str">
        <f>Master!AG58</f>
        <v>TI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258">
        <v>0</v>
      </c>
      <c r="L56" s="66">
        <v>0</v>
      </c>
      <c r="M56" s="66">
        <v>0</v>
      </c>
      <c r="N56" s="258">
        <v>0</v>
      </c>
      <c r="O56" s="66">
        <v>0</v>
      </c>
      <c r="P56" s="258">
        <f t="shared" si="0"/>
        <v>0</v>
      </c>
      <c r="Q56" s="154" t="str">
        <f>Master!AF58</f>
        <v>TAJIKISTAN</v>
      </c>
      <c r="R56" s="55"/>
    </row>
    <row r="57" spans="1:18" ht="15.75" thickBot="1" x14ac:dyDescent="0.3">
      <c r="A57" s="55"/>
      <c r="B57" s="154" t="str">
        <f>Master!AF59</f>
        <v>TANZANIA</v>
      </c>
      <c r="C57" s="148" t="str">
        <f>Master!AG59</f>
        <v>TZ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258">
        <v>0</v>
      </c>
      <c r="L57" s="66">
        <v>0</v>
      </c>
      <c r="M57" s="66">
        <v>0</v>
      </c>
      <c r="N57" s="258">
        <v>0</v>
      </c>
      <c r="O57" s="66">
        <v>0</v>
      </c>
      <c r="P57" s="258">
        <f t="shared" si="0"/>
        <v>0</v>
      </c>
      <c r="Q57" s="154" t="str">
        <f>Master!AF59</f>
        <v>TANZANIA</v>
      </c>
      <c r="R57" s="55"/>
    </row>
    <row r="58" spans="1:18" ht="15.75" thickBot="1" x14ac:dyDescent="0.3">
      <c r="A58" s="55"/>
      <c r="B58" s="154" t="str">
        <f>Master!AF60</f>
        <v>THAILAND</v>
      </c>
      <c r="C58" s="148" t="str">
        <f>Master!AG60</f>
        <v>TH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258">
        <v>0</v>
      </c>
      <c r="L58" s="66">
        <v>0</v>
      </c>
      <c r="M58" s="66">
        <v>0</v>
      </c>
      <c r="N58" s="258">
        <v>0</v>
      </c>
      <c r="O58" s="66">
        <v>0</v>
      </c>
      <c r="P58" s="258">
        <f t="shared" si="0"/>
        <v>0</v>
      </c>
      <c r="Q58" s="154" t="str">
        <f>Master!AF60</f>
        <v>THAILAND</v>
      </c>
      <c r="R58" s="55"/>
    </row>
    <row r="59" spans="1:18" ht="15.75" thickBot="1" x14ac:dyDescent="0.3">
      <c r="B59" s="154" t="str">
        <f>Master!AF61</f>
        <v>UGANDA</v>
      </c>
      <c r="C59" s="148" t="str">
        <f>Master!AG61</f>
        <v>UG</v>
      </c>
      <c r="D59" s="66">
        <v>1</v>
      </c>
      <c r="E59" s="66">
        <v>1</v>
      </c>
      <c r="F59" s="66">
        <v>0</v>
      </c>
      <c r="G59" s="66">
        <v>0</v>
      </c>
      <c r="H59" s="66">
        <v>1</v>
      </c>
      <c r="I59" s="66">
        <v>0</v>
      </c>
      <c r="J59" s="66">
        <v>0</v>
      </c>
      <c r="K59" s="258">
        <v>0</v>
      </c>
      <c r="L59" s="66">
        <v>0</v>
      </c>
      <c r="M59" s="66">
        <v>0</v>
      </c>
      <c r="N59" s="258">
        <v>0</v>
      </c>
      <c r="O59" s="66">
        <v>0</v>
      </c>
      <c r="P59" s="258">
        <f t="shared" si="0"/>
        <v>3</v>
      </c>
      <c r="Q59" s="154" t="str">
        <f>Master!AF61</f>
        <v>UGANDA</v>
      </c>
      <c r="R59" s="55"/>
    </row>
    <row r="60" spans="1:18" ht="15.75" thickBot="1" x14ac:dyDescent="0.3">
      <c r="B60" s="154" t="str">
        <f>Master!AF62</f>
        <v>UKRAINE</v>
      </c>
      <c r="C60" s="148" t="str">
        <f>Master!AG62</f>
        <v>UP</v>
      </c>
      <c r="D60" s="66">
        <v>17</v>
      </c>
      <c r="E60" s="66">
        <v>13</v>
      </c>
      <c r="F60" s="66">
        <v>12</v>
      </c>
      <c r="G60" s="66">
        <v>24</v>
      </c>
      <c r="H60" s="66">
        <v>5</v>
      </c>
      <c r="I60" s="66">
        <v>4</v>
      </c>
      <c r="J60" s="66">
        <v>3</v>
      </c>
      <c r="K60" s="258">
        <v>29</v>
      </c>
      <c r="L60" s="66">
        <v>14</v>
      </c>
      <c r="M60" s="66">
        <v>0</v>
      </c>
      <c r="N60" s="258">
        <v>7</v>
      </c>
      <c r="O60" s="66">
        <v>0</v>
      </c>
      <c r="P60" s="258">
        <f t="shared" si="0"/>
        <v>128</v>
      </c>
      <c r="Q60" s="154" t="str">
        <f>Master!AF62</f>
        <v>UKRAINE</v>
      </c>
      <c r="R60" s="55"/>
    </row>
    <row r="61" spans="1:18" ht="15.75" thickBot="1" x14ac:dyDescent="0.3">
      <c r="B61" s="154" t="str">
        <f>Master!AF63</f>
        <v>UZBEKISTAN</v>
      </c>
      <c r="C61" s="148" t="str">
        <f>Master!AG63</f>
        <v>UZ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258">
        <v>0</v>
      </c>
      <c r="L61" s="66">
        <v>0</v>
      </c>
      <c r="M61" s="66">
        <v>0</v>
      </c>
      <c r="N61" s="258">
        <v>0</v>
      </c>
      <c r="O61" s="66">
        <v>0</v>
      </c>
      <c r="P61" s="258">
        <f t="shared" si="0"/>
        <v>0</v>
      </c>
      <c r="Q61" s="154" t="str">
        <f>Master!AF63</f>
        <v>UZBEKISTAN</v>
      </c>
    </row>
    <row r="62" spans="1:18" ht="15.75" thickBot="1" x14ac:dyDescent="0.3">
      <c r="B62" s="154" t="str">
        <f>Master!AF64</f>
        <v>VIETNAM</v>
      </c>
      <c r="C62" s="148" t="str">
        <f>Master!AG64</f>
        <v>VM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258">
        <v>0</v>
      </c>
      <c r="L62" s="66">
        <v>0</v>
      </c>
      <c r="M62" s="66">
        <v>0</v>
      </c>
      <c r="N62" s="258">
        <v>0</v>
      </c>
      <c r="O62" s="66">
        <v>27</v>
      </c>
      <c r="P62" s="258">
        <f t="shared" si="0"/>
        <v>27</v>
      </c>
      <c r="Q62" s="154" t="str">
        <f>Master!AF64</f>
        <v>VIETNAM</v>
      </c>
    </row>
    <row r="63" spans="1:18" ht="15.75" thickBot="1" x14ac:dyDescent="0.3">
      <c r="B63" s="154" t="str">
        <f>Master!AF65</f>
        <v>ZAMBIA</v>
      </c>
      <c r="C63" s="148" t="str">
        <f>Master!AG65</f>
        <v>ZA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258">
        <v>0</v>
      </c>
      <c r="L63" s="66">
        <v>0</v>
      </c>
      <c r="M63" s="66">
        <v>0</v>
      </c>
      <c r="N63" s="258">
        <v>0</v>
      </c>
      <c r="O63" s="66">
        <v>0</v>
      </c>
      <c r="P63" s="258">
        <f t="shared" si="0"/>
        <v>0</v>
      </c>
      <c r="Q63" s="154" t="str">
        <f>Master!AF65</f>
        <v>ZAMBIA</v>
      </c>
    </row>
    <row r="64" spans="1:18" ht="15.75" thickBot="1" x14ac:dyDescent="0.3">
      <c r="B64" s="154"/>
      <c r="C64" s="148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258"/>
      <c r="O64" s="66"/>
      <c r="P64" s="258"/>
      <c r="Q64" s="154"/>
    </row>
    <row r="65" spans="2:17" ht="15.75" thickBot="1" x14ac:dyDescent="0.3">
      <c r="B65" s="205" t="s">
        <v>53</v>
      </c>
      <c r="C65" s="206"/>
      <c r="D65" s="23">
        <f>SUM(D5:D64)</f>
        <v>98</v>
      </c>
      <c r="E65" s="23">
        <f>SUM(E5:E64)</f>
        <v>75</v>
      </c>
      <c r="F65" s="23">
        <f>SUM(F5:F64)</f>
        <v>88</v>
      </c>
      <c r="G65" s="23">
        <f>SUM(G5:G64)</f>
        <v>122</v>
      </c>
      <c r="H65" s="23">
        <f>SUM(H5:H64)</f>
        <v>45</v>
      </c>
      <c r="I65" s="23">
        <f>SUM(I5:I64)</f>
        <v>27</v>
      </c>
      <c r="J65" s="23">
        <f>SUM(J5:J64)</f>
        <v>41</v>
      </c>
      <c r="K65" s="23">
        <f>SUM(K5:K64)</f>
        <v>67</v>
      </c>
      <c r="L65" s="23">
        <v>60</v>
      </c>
      <c r="M65" s="23">
        <v>18</v>
      </c>
      <c r="N65" s="249">
        <v>43</v>
      </c>
      <c r="O65" s="23">
        <v>54</v>
      </c>
      <c r="P65" s="249">
        <f>SUM(D65:O65)</f>
        <v>738</v>
      </c>
      <c r="Q65" s="24" t="s">
        <v>53</v>
      </c>
    </row>
    <row r="66" spans="2:17" x14ac:dyDescent="0.25">
      <c r="P66" s="320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451C28-4196-4185-9A4A-098C60C6BEEC}"/>
</file>

<file path=customXml/itemProps2.xml><?xml version="1.0" encoding="utf-8"?>
<ds:datastoreItem xmlns:ds="http://schemas.openxmlformats.org/officeDocument/2006/customXml" ds:itemID="{07078940-F318-445B-B5F3-86C352AFC1F8}"/>
</file>

<file path=customXml/itemProps3.xml><?xml version="1.0" encoding="utf-8"?>
<ds:datastoreItem xmlns:ds="http://schemas.openxmlformats.org/officeDocument/2006/customXml" ds:itemID="{E083B7E5-5767-4297-A2A0-18D90BC23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Rpt Regions</vt:lpstr>
      <vt:lpstr>Rpt Counties</vt:lpstr>
      <vt:lpstr>Rpt Countries</vt:lpstr>
      <vt:lpstr>Rpt R1</vt:lpstr>
      <vt:lpstr>Rpt R1 VOLAG by Cntry</vt:lpstr>
      <vt:lpstr>Rpt R2</vt:lpstr>
      <vt:lpstr>Rpt R2 Hbrg</vt:lpstr>
      <vt:lpstr>Rpt R2 Lncstr</vt:lpstr>
      <vt:lpstr>Rpt R3</vt:lpstr>
      <vt:lpstr>Rpt R3 Volag by Cntry</vt:lpstr>
      <vt:lpstr>Rpt R4</vt:lpstr>
      <vt:lpstr>Rpt R4 Allntwn</vt:lpstr>
      <vt:lpstr>Rpt R4 Scrntn</vt:lpstr>
      <vt:lpstr>Rpt R5</vt:lpstr>
      <vt:lpstr>Rpt R5 VOLAG by Cntry</vt:lpstr>
      <vt:lpstr>Rpt VOLAG City</vt:lpstr>
      <vt:lpstr>Master</vt:lpstr>
      <vt:lpstr>Country Codes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Dimm, Aaron</cp:lastModifiedBy>
  <dcterms:created xsi:type="dcterms:W3CDTF">2015-10-15T13:04:42Z</dcterms:created>
  <dcterms:modified xsi:type="dcterms:W3CDTF">2017-10-18T18:32:05Z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